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C:\Users\Carl.Shapiro\Desktop\"/>
    </mc:Choice>
  </mc:AlternateContent>
  <xr:revisionPtr revIDLastSave="0" documentId="13_ncr:1_{B67CE2F6-EA23-4AAC-B999-8E5BF83E9248}" xr6:coauthVersionLast="47" xr6:coauthVersionMax="47" xr10:uidLastSave="{00000000-0000-0000-0000-000000000000}"/>
  <workbookProtection workbookAlgorithmName="SHA-512" workbookHashValue="4EzOw1QzsRsU2biSnVVkNwwlikS+SECqkygtc9alfhqlpMxn9JSrZbQfvrxCFjRdnVybEx4aF6P42tRPk1AX/A==" workbookSaltValue="+kP66XtAVN7naNo9gPh1uA==" workbookSpinCount="100000" lockStructure="1"/>
  <bookViews>
    <workbookView xWindow="-120" yWindow="-120" windowWidth="29040" windowHeight="15840" tabRatio="932" activeTab="4"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D7" i="12" s="1"/>
  <c r="C6" i="20"/>
  <c r="C5" i="20"/>
  <c r="C4" i="20"/>
  <c r="C4" i="21" s="1"/>
  <c r="C43" i="15"/>
  <c r="C42" i="15"/>
  <c r="C41" i="15"/>
  <c r="C40" i="15"/>
  <c r="C39" i="15"/>
  <c r="D19" i="15"/>
  <c r="L16" i="15"/>
  <c r="L15" i="15"/>
  <c r="L14" i="15"/>
  <c r="D12" i="15"/>
  <c r="C4" i="15"/>
  <c r="D8" i="15" s="1"/>
  <c r="J32" i="14"/>
  <c r="I31" i="14"/>
  <c r="R27" i="14"/>
  <c r="R26" i="14"/>
  <c r="R25" i="14"/>
  <c r="R24" i="14"/>
  <c r="I24" i="14"/>
  <c r="G24" i="14"/>
  <c r="E24" i="14"/>
  <c r="C24" i="14"/>
  <c r="R23" i="14"/>
  <c r="I23" i="14"/>
  <c r="G23" i="14"/>
  <c r="E23" i="14"/>
  <c r="C23" i="14"/>
  <c r="R22" i="14"/>
  <c r="I22" i="14"/>
  <c r="J22" i="14" s="1"/>
  <c r="H22" i="14"/>
  <c r="K35" i="14" s="1"/>
  <c r="G22" i="14"/>
  <c r="F22" i="14"/>
  <c r="Q17" i="14" s="1"/>
  <c r="E22" i="14"/>
  <c r="D22" i="14"/>
  <c r="I35" i="14" s="1"/>
  <c r="C22" i="14"/>
  <c r="R21" i="14"/>
  <c r="I21" i="14"/>
  <c r="J19" i="14" s="1"/>
  <c r="G21" i="14"/>
  <c r="E21" i="14"/>
  <c r="F19" i="14" s="1"/>
  <c r="C21" i="14"/>
  <c r="R20" i="14"/>
  <c r="I20" i="14"/>
  <c r="G20" i="14"/>
  <c r="E20" i="14"/>
  <c r="C20" i="14"/>
  <c r="R19" i="14"/>
  <c r="I19" i="14"/>
  <c r="G19" i="14"/>
  <c r="H19" i="14" s="1"/>
  <c r="E19" i="14"/>
  <c r="D19" i="14"/>
  <c r="D24" i="15" s="1"/>
  <c r="C19" i="14"/>
  <c r="R18" i="14"/>
  <c r="I18" i="14"/>
  <c r="G18" i="14"/>
  <c r="E18" i="14"/>
  <c r="C18" i="14"/>
  <c r="R17" i="14"/>
  <c r="I17" i="14"/>
  <c r="G17" i="14"/>
  <c r="E17" i="14"/>
  <c r="C17" i="14"/>
  <c r="R16" i="14"/>
  <c r="J16" i="14"/>
  <c r="L33" i="14" s="1"/>
  <c r="I16" i="14"/>
  <c r="H16" i="14"/>
  <c r="K33" i="14" s="1"/>
  <c r="G16" i="14"/>
  <c r="E16" i="14"/>
  <c r="F16" i="14" s="1"/>
  <c r="D16" i="14"/>
  <c r="Q10" i="14" s="1"/>
  <c r="C16" i="14"/>
  <c r="R15" i="14"/>
  <c r="I15" i="14"/>
  <c r="G15" i="14"/>
  <c r="E15" i="14"/>
  <c r="C15" i="14"/>
  <c r="R14" i="14"/>
  <c r="I14" i="14"/>
  <c r="J13" i="14" s="1"/>
  <c r="G14" i="14"/>
  <c r="E14" i="14"/>
  <c r="C14" i="14"/>
  <c r="R13" i="14"/>
  <c r="I13" i="14"/>
  <c r="H13" i="14"/>
  <c r="Q19" i="14" s="1"/>
  <c r="G13" i="14"/>
  <c r="F13" i="14"/>
  <c r="D14" i="15" s="1"/>
  <c r="E13" i="14"/>
  <c r="C13" i="14"/>
  <c r="D13" i="14" s="1"/>
  <c r="R12" i="14"/>
  <c r="Q12" i="14"/>
  <c r="I12" i="14"/>
  <c r="G12" i="14"/>
  <c r="E12" i="14"/>
  <c r="C12" i="14"/>
  <c r="R11" i="14"/>
  <c r="I11" i="14"/>
  <c r="G11" i="14"/>
  <c r="E11" i="14"/>
  <c r="C11" i="14"/>
  <c r="R10" i="14"/>
  <c r="I10" i="14"/>
  <c r="J10" i="14" s="1"/>
  <c r="H10" i="14"/>
  <c r="D11" i="15" s="1"/>
  <c r="G10" i="14"/>
  <c r="F10" i="14"/>
  <c r="D10" i="15" s="1"/>
  <c r="E10" i="14"/>
  <c r="D10" i="14"/>
  <c r="Q8" i="14" s="1"/>
  <c r="C10" i="14"/>
  <c r="R9" i="14"/>
  <c r="R8" i="14"/>
  <c r="C4" i="14"/>
  <c r="H28" i="14" s="1"/>
  <c r="D17" i="21"/>
  <c r="D16" i="21"/>
  <c r="C8" i="21"/>
  <c r="B8" i="21"/>
  <c r="B7" i="21"/>
  <c r="C6" i="21"/>
  <c r="B6" i="21"/>
  <c r="C5" i="21"/>
  <c r="B5" i="21"/>
  <c r="B4" i="21"/>
  <c r="C3" i="21"/>
  <c r="B3" i="21"/>
  <c r="B2" i="21"/>
  <c r="D8" i="12"/>
  <c r="B8" i="12"/>
  <c r="B7" i="12"/>
  <c r="D6" i="12"/>
  <c r="B6" i="12"/>
  <c r="D5" i="12"/>
  <c r="B5" i="12"/>
  <c r="B4" i="12"/>
  <c r="D3" i="12"/>
  <c r="B3" i="12"/>
  <c r="B2" i="12"/>
  <c r="AG41" i="18"/>
  <c r="AH39" i="18" s="1"/>
  <c r="AG40" i="18"/>
  <c r="AG39" i="18"/>
  <c r="AG38" i="18"/>
  <c r="AG37" i="18"/>
  <c r="AG36" i="18"/>
  <c r="AH36" i="18" s="1"/>
  <c r="AG35" i="18"/>
  <c r="AH33" i="18" s="1"/>
  <c r="AG34" i="18"/>
  <c r="AG33" i="18"/>
  <c r="AG32" i="18"/>
  <c r="AG31" i="18"/>
  <c r="AG30" i="18"/>
  <c r="AH30" i="18" s="1"/>
  <c r="AG29" i="18"/>
  <c r="AH27" i="18" s="1"/>
  <c r="AG28" i="18"/>
  <c r="AG27" i="18"/>
  <c r="AG26" i="18"/>
  <c r="AG25" i="18"/>
  <c r="AG24" i="18"/>
  <c r="AH24" i="18" s="1"/>
  <c r="AG23" i="18"/>
  <c r="AH21" i="18" s="1"/>
  <c r="AG22" i="18"/>
  <c r="AG21" i="18"/>
  <c r="AG20" i="18"/>
  <c r="AG19" i="18"/>
  <c r="AG18" i="18"/>
  <c r="AH18" i="18" s="1"/>
  <c r="AG17" i="18"/>
  <c r="AG16" i="18"/>
  <c r="AG15" i="18"/>
  <c r="AH15" i="18" s="1"/>
  <c r="Z15" i="18"/>
  <c r="T15" i="18"/>
  <c r="N15" i="18"/>
  <c r="H15" i="18"/>
  <c r="D8" i="18"/>
  <c r="B8" i="18"/>
  <c r="B7" i="18"/>
  <c r="D6" i="18"/>
  <c r="B6" i="18"/>
  <c r="D5" i="18"/>
  <c r="B5" i="18"/>
  <c r="B4" i="18"/>
  <c r="D3" i="18"/>
  <c r="B3" i="18"/>
  <c r="B2" i="18"/>
  <c r="B7" i="19"/>
  <c r="C6" i="19"/>
  <c r="B6" i="19"/>
  <c r="C5" i="19"/>
  <c r="B5" i="19"/>
  <c r="C4" i="19"/>
  <c r="B4" i="19"/>
  <c r="C3" i="19"/>
  <c r="B3" i="19"/>
  <c r="B2" i="19"/>
  <c r="C7" i="19" l="1"/>
  <c r="C7" i="21"/>
  <c r="D7" i="18"/>
  <c r="Q15" i="14"/>
  <c r="D18" i="15"/>
  <c r="J33" i="14"/>
  <c r="AI15" i="18"/>
  <c r="AJ15" i="18" s="1"/>
  <c r="C14" i="18" s="1"/>
  <c r="D23" i="15"/>
  <c r="Q21" i="14"/>
  <c r="K34" i="14"/>
  <c r="D22" i="15"/>
  <c r="J34" i="14"/>
  <c r="Q16" i="14"/>
  <c r="D16" i="15"/>
  <c r="I32" i="14"/>
  <c r="Q9" i="14"/>
  <c r="Q31" i="14" s="1"/>
  <c r="C19" i="12" s="1"/>
  <c r="D13" i="15"/>
  <c r="D40" i="15" s="1"/>
  <c r="L32" i="14"/>
  <c r="Q24" i="14"/>
  <c r="L31" i="14"/>
  <c r="D9" i="15"/>
  <c r="Q23" i="14"/>
  <c r="Q26" i="14"/>
  <c r="L34" i="14"/>
  <c r="D21" i="15"/>
  <c r="L35" i="14"/>
  <c r="Q27" i="14"/>
  <c r="D25" i="15"/>
  <c r="D43" i="15" s="1"/>
  <c r="D38" i="15"/>
  <c r="Q14" i="14"/>
  <c r="K32" i="14"/>
  <c r="F12" i="15"/>
  <c r="D15" i="15"/>
  <c r="D26" i="15"/>
  <c r="D27" i="15"/>
  <c r="Q11" i="14"/>
  <c r="Q13" i="14"/>
  <c r="Q25" i="14"/>
  <c r="J31" i="14"/>
  <c r="D20" i="15"/>
  <c r="D28" i="15"/>
  <c r="K31" i="14"/>
  <c r="I33" i="14"/>
  <c r="D4" i="18"/>
  <c r="D4" i="12"/>
  <c r="Q18" i="14"/>
  <c r="Q20" i="14"/>
  <c r="Q32" i="14" s="1"/>
  <c r="C20" i="12" s="1"/>
  <c r="Q22" i="14"/>
  <c r="J35" i="14"/>
  <c r="D17" i="15"/>
  <c r="I34" i="14"/>
  <c r="D34" i="15" l="1"/>
  <c r="D33" i="15"/>
  <c r="D32" i="15"/>
  <c r="G14" i="15"/>
  <c r="D39" i="15"/>
  <c r="G15" i="15"/>
  <c r="I15" i="15" s="1"/>
  <c r="D31" i="15"/>
  <c r="G18" i="15"/>
  <c r="D41" i="15"/>
  <c r="D42" i="15"/>
  <c r="G16" i="15" l="1"/>
  <c r="I14" i="15"/>
  <c r="I16" i="15" l="1"/>
  <c r="G17" i="15"/>
  <c r="I17" i="15" s="1"/>
  <c r="J15" i="15" s="1"/>
  <c r="K15" i="15" s="1"/>
  <c r="J16" i="15" l="1"/>
  <c r="K16" i="15" s="1"/>
  <c r="I9" i="15" s="1"/>
  <c r="J9" i="15" s="1"/>
  <c r="J14" i="15"/>
  <c r="K14" i="15" s="1"/>
  <c r="C15" i="12" l="1"/>
  <c r="C5" i="15"/>
</calcChain>
</file>

<file path=xl/sharedStrings.xml><?xml version="1.0" encoding="utf-8"?>
<sst xmlns="http://schemas.openxmlformats.org/spreadsheetml/2006/main" count="406" uniqueCount="209">
  <si>
    <t>Reference Test Procedure</t>
  </si>
  <si>
    <t>10 CFR 430 Subpart B Appendix J3:  Uniform Test Method for Measuring the Moisture Absorption and Retention Characteristics of New Energy Test Cloth Lots</t>
  </si>
  <si>
    <t>Table of Contents</t>
  </si>
  <si>
    <t>Tab</t>
  </si>
  <si>
    <t>Contents</t>
  </si>
  <si>
    <t>Instructions</t>
  </si>
  <si>
    <t>Instructions and summary of template contents</t>
  </si>
  <si>
    <t>Material Verification</t>
  </si>
  <si>
    <t>Lab information, lot number, test results from pre-qualification tests</t>
  </si>
  <si>
    <t>Extractor Tests Raw Data</t>
  </si>
  <si>
    <t>Lab information, lot number, test results from extractor tests</t>
  </si>
  <si>
    <t>Report Sign-Off Block</t>
  </si>
  <si>
    <t>Report review history</t>
  </si>
  <si>
    <t>Correction Factors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</si>
  <si>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</si>
  <si>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</si>
  <si>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</si>
  <si>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</si>
  <si>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</si>
  <si>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</si>
  <si>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</si>
  <si>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Version Control</t>
  </si>
  <si>
    <t>Revision history</t>
  </si>
  <si>
    <t>Legend</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</si>
  <si>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</si>
  <si>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</si>
  <si>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</si>
  <si>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</si>
  <si>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</si>
  <si>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</si>
  <si>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</si>
  <si>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</si>
  <si>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</si>
  <si>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STEP:</t>
  </si>
  <si>
    <t>FILL IN INPUT CELLS IN THIS TAB:</t>
  </si>
  <si>
    <t>Step 1</t>
  </si>
  <si>
    <t>Step 2</t>
  </si>
  <si>
    <t>Step 3</t>
  </si>
  <si>
    <t>Report Sign-off Block</t>
  </si>
  <si>
    <t>Back to Instructions tab</t>
  </si>
  <si>
    <t>Note: Please enter data only in the blue shaded cells in this worksheet.</t>
  </si>
  <si>
    <t>Lot number:</t>
  </si>
  <si>
    <t>Testfabrics  Lot 3345</t>
  </si>
  <si>
    <t>Distribution of Sample Loads</t>
  </si>
  <si>
    <t>Size Specifications</t>
  </si>
  <si>
    <t>AATCC 118-2007 Oil Repellency</t>
  </si>
  <si>
    <t>AATCC 79-2010 Absorbency of Textiles</t>
  </si>
  <si>
    <t>Variance of Test Load RMC Measurements with 60°F Soak, 15 Min. Spin @ 350g</t>
  </si>
  <si>
    <t>Lot Acceptable?</t>
  </si>
  <si>
    <t>Roll No.</t>
  </si>
  <si>
    <t>Roll Location</t>
  </si>
  <si>
    <t>Mark "X" if Confirmed</t>
  </si>
  <si>
    <t>Acceptable?</t>
  </si>
  <si>
    <t>1 cloth from Roll No.</t>
  </si>
  <si>
    <t>Required Size (hemmed)</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</si>
  <si>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</si>
  <si>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</si>
  <si>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</si>
  <si>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</si>
  <si>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</si>
  <si>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</si>
  <si>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</si>
  <si>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</si>
  <si>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</si>
  <si>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</si>
  <si>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</si>
  <si>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</si>
  <si>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</si>
  <si>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</si>
  <si>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X</t>
  </si>
  <si>
    <t>Test cloth: 22 ± ½ in. by 34 ± ½ in.</t>
  </si>
  <si>
    <t>Grade 0 (Fails Kaydol)</t>
  </si>
  <si>
    <t>On the order of 1 second</t>
  </si>
  <si>
    <t>Laboratory Information</t>
  </si>
  <si>
    <t>Middle</t>
  </si>
  <si>
    <t>Stuffer cloth: 10 ± ¼ in. by 10 ± ¼ in.</t>
  </si>
  <si>
    <t>Tested by:</t>
  </si>
  <si>
    <t>TL</t>
  </si>
  <si>
    <t>End</t>
  </si>
  <si>
    <t>Last</t>
  </si>
  <si>
    <t>Date:</t>
  </si>
  <si>
    <t>10/9/2023-10/11/2023</t>
  </si>
  <si>
    <t>Location</t>
  </si>
  <si>
    <t>UL Verification Services Inc. (Newton) Laboratory</t>
  </si>
  <si>
    <t>See 10 CFR 430 Subpart B Appendix J3, section 7.1.2</t>
  </si>
  <si>
    <t>See 10 CFR 430 Subpart B Appendix J3, section 7.1.3</t>
  </si>
  <si>
    <t>See 10 CFR 430 Subpart B Appendix J3, section 7.1.1</t>
  </si>
  <si>
    <t>See 10 CFR 430 Subpart B Appendix J3, section 7.2</t>
  </si>
  <si>
    <t>Test using 8.4 +/- 0.1 lb of pre-conditioned test cloth.</t>
  </si>
  <si>
    <t>Table 3.1  Matrix of Extractor RMC Test Conditions</t>
  </si>
  <si>
    <t>Lot number</t>
  </si>
  <si>
    <t>"g Force"</t>
  </si>
  <si>
    <r>
      <t>100</t>
    </r>
    <r>
      <rPr>
        <b/>
        <sz val="10"/>
        <color indexed="8"/>
        <rFont val="Arial"/>
        <family val="2"/>
      </rPr>
      <t>⁰F - Warm Soak</t>
    </r>
  </si>
  <si>
    <r>
      <t>60</t>
    </r>
    <r>
      <rPr>
        <b/>
        <sz val="10"/>
        <color indexed="8"/>
        <rFont val="Arial"/>
        <family val="2"/>
      </rPr>
      <t>⁰F - Cold Soak</t>
    </r>
  </si>
  <si>
    <t>15 min</t>
  </si>
  <si>
    <t>4 min</t>
  </si>
  <si>
    <t>(from Analysis of Variance tab)</t>
  </si>
  <si>
    <t>Batch #</t>
  </si>
  <si>
    <t>Dry Wt</t>
  </si>
  <si>
    <t>Wet Wt</t>
  </si>
  <si>
    <t>100 g</t>
  </si>
  <si>
    <t>Load #1</t>
  </si>
  <si>
    <t>Load #2</t>
  </si>
  <si>
    <t>Load#2</t>
  </si>
  <si>
    <t>Load#1</t>
  </si>
  <si>
    <t>A =</t>
  </si>
  <si>
    <t>B =</t>
  </si>
  <si>
    <t>200 g</t>
  </si>
  <si>
    <t>(from Correction Factors tab)</t>
  </si>
  <si>
    <t>350 g</t>
  </si>
  <si>
    <t>10/16/2023-10/27/2023</t>
  </si>
  <si>
    <t>UL Verification Services (Newton) Laboratory</t>
  </si>
  <si>
    <t>500 g</t>
  </si>
  <si>
    <t>650 g</t>
  </si>
  <si>
    <t>Batch # corresponds to the 8.4 lb load bundle(s) used for testing. Per section 8.2 of Appendix J3, two test loads may be</t>
  </si>
  <si>
    <t>used for the standard extractor tests, with each load used for half of the total number of required tests in this matrix.</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</si>
  <si>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</si>
  <si>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</si>
  <si>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</si>
  <si>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Date</t>
  </si>
  <si>
    <t>Entity</t>
  </si>
  <si>
    <t>Test Cloth Material Verification Test Completion</t>
  </si>
  <si>
    <t>Extractor Test Completion</t>
  </si>
  <si>
    <t>Template Population</t>
  </si>
  <si>
    <t>Report Review by Test Lab</t>
  </si>
  <si>
    <t>Note: Please do not alter any cells in this worksheet.</t>
  </si>
  <si>
    <t>This spreadsheet calculates the linear least-squares fit to the standard RMC values per section 8.7 of Appendix J3.</t>
  </si>
  <si>
    <t>Lot #</t>
  </si>
  <si>
    <t>Table 3.1  Matrix of Extractor RMC test conditions</t>
  </si>
  <si>
    <r>
      <t>100</t>
    </r>
    <r>
      <rPr>
        <b/>
        <sz val="10"/>
        <color indexed="8"/>
        <rFont val="Arial"/>
        <family val="2"/>
      </rPr>
      <t>⁰F - Warm Bath</t>
    </r>
  </si>
  <si>
    <r>
      <t>60</t>
    </r>
    <r>
      <rPr>
        <b/>
        <sz val="10"/>
        <color indexed="8"/>
        <rFont val="Arial"/>
        <family val="2"/>
      </rPr>
      <t>⁰F - Cold Bath</t>
    </r>
  </si>
  <si>
    <t>Condition Point</t>
  </si>
  <si>
    <t>Avg. RMC measured</t>
  </si>
  <si>
    <t>Lot 3 RMC standard</t>
  </si>
  <si>
    <r>
      <t>Warm 100</t>
    </r>
    <r>
      <rPr>
        <b/>
        <sz val="10"/>
        <rFont val="Calibri"/>
        <family val="2"/>
      </rPr>
      <t>°</t>
    </r>
    <r>
      <rPr>
        <b/>
        <sz val="10"/>
        <rFont val="Arial"/>
        <family val="2"/>
      </rPr>
      <t xml:space="preserve"> F</t>
    </r>
  </si>
  <si>
    <t>% RMC</t>
  </si>
  <si>
    <t>Avg. RMC</t>
  </si>
  <si>
    <r>
      <t>Cold 60</t>
    </r>
    <r>
      <rPr>
        <b/>
        <sz val="10"/>
        <rFont val="Calibri"/>
        <family val="2"/>
      </rPr>
      <t>°</t>
    </r>
    <r>
      <rPr>
        <b/>
        <sz val="10"/>
        <rFont val="Arial"/>
        <family val="2"/>
      </rPr>
      <t xml:space="preserve"> F</t>
    </r>
  </si>
  <si>
    <t>Table 6.1 - Standard RMC Values (Lot #3)</t>
  </si>
  <si>
    <t>Warm Soak</t>
  </si>
  <si>
    <t>Cold Soak</t>
  </si>
  <si>
    <t>Coeffiecents of the Least Squares Fit</t>
  </si>
  <si>
    <t>Coefficients</t>
  </si>
  <si>
    <t>This spreadsheet checks the interaction of spin speed and lot through an analysis of variance with replication test.</t>
  </si>
  <si>
    <t>Criteria for approving new lot</t>
  </si>
  <si>
    <t>Conditions</t>
  </si>
  <si>
    <t>Standard Lot 3</t>
  </si>
  <si>
    <t>Test Procedure Reference</t>
  </si>
  <si>
    <t>Statistical Test</t>
  </si>
  <si>
    <t>Accpetance criteria</t>
  </si>
  <si>
    <t>Result</t>
  </si>
  <si>
    <t>Cold - 4 min - 100g</t>
  </si>
  <si>
    <t>Section 8.8 (App J3)</t>
  </si>
  <si>
    <t>Spin Speed-Lot Interaction</t>
  </si>
  <si>
    <t>P value &gt; 0.1</t>
  </si>
  <si>
    <t>Note: If P-value &gt; 0.1, interaction is NOT significant and the lot is acceptable.</t>
  </si>
  <si>
    <t>Warm - 4 min - 100g</t>
  </si>
  <si>
    <t>Cold - 15 min - 100g</t>
  </si>
  <si>
    <t>Warm - 15 min - 100g</t>
  </si>
  <si>
    <t>Cold - 4 min - 200g</t>
  </si>
  <si>
    <t>Source of Variation</t>
  </si>
  <si>
    <t>SS</t>
  </si>
  <si>
    <t>df</t>
  </si>
  <si>
    <t>MS</t>
  </si>
  <si>
    <t>F</t>
  </si>
  <si>
    <t>P-value</t>
  </si>
  <si>
    <t>F crit</t>
  </si>
  <si>
    <t>Warm - 4 min - 200g</t>
  </si>
  <si>
    <t>Spin speed</t>
  </si>
  <si>
    <t>Cold - 15 min - 200g</t>
  </si>
  <si>
    <t>Lot</t>
  </si>
  <si>
    <t>Warm - 15 min - 200g</t>
  </si>
  <si>
    <t>Interaction</t>
  </si>
  <si>
    <t>Cold - 4 min - 350g</t>
  </si>
  <si>
    <t>Within (error)</t>
  </si>
  <si>
    <t>Warm - 4 min - 350g</t>
  </si>
  <si>
    <t>Total</t>
  </si>
  <si>
    <t>Cold - 15 min - 350g</t>
  </si>
  <si>
    <t>Warm - 15 min - 350g</t>
  </si>
  <si>
    <t>Cold - 4 min - 500g</t>
  </si>
  <si>
    <t>Warm - 4 min - 500g</t>
  </si>
  <si>
    <t>Cold - 15 min - 500g</t>
  </si>
  <si>
    <t>Warm - 15 min - 500g</t>
  </si>
  <si>
    <t>Cold - 4 min - 650g</t>
  </si>
  <si>
    <t>Warm - 4 min - 650g</t>
  </si>
  <si>
    <t>Cold - 15 min - 650g</t>
  </si>
  <si>
    <t>Warm - 15 min - 650g</t>
  </si>
  <si>
    <t>Slope</t>
  </si>
  <si>
    <t>Intercept</t>
  </si>
  <si>
    <t>RMS Error</t>
  </si>
  <si>
    <t>R square</t>
  </si>
  <si>
    <t>RMC averages by spin speed</t>
  </si>
  <si>
    <t>Spin Speed</t>
  </si>
  <si>
    <t>Lot 3</t>
  </si>
  <si>
    <t>Title Block</t>
  </si>
  <si>
    <t>Test Report Template Name:</t>
  </si>
  <si>
    <t xml:space="preserve">Test Cloth Correction Factors </t>
  </si>
  <si>
    <t>Version Number:</t>
  </si>
  <si>
    <t xml:space="preserve">Latest Template Revision: </t>
  </si>
  <si>
    <t>Tab Name:</t>
  </si>
  <si>
    <t>File Name:</t>
  </si>
  <si>
    <t xml:space="preserve">Test Completion Date: </t>
  </si>
  <si>
    <t>Revisions List</t>
  </si>
  <si>
    <t>Version</t>
  </si>
  <si>
    <t>v1.0</t>
  </si>
  <si>
    <t>v2.0</t>
  </si>
  <si>
    <t>v2.1</t>
  </si>
  <si>
    <t>v2.2</t>
  </si>
  <si>
    <t>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</si>
</sst>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20">
    <xf numFmtId="0" fontId="0" fillId="0" borderId="0" xfId="0"/>
    <xf numFmtId="2" fontId="0" fillId="0" borderId="0" xfId="0" applyNumberFormat="1"/>
    <xf numFmtId="2" fontId="0" fillId="0" borderId="0" xfId="0" applyNumberFormat="1" applyAlignment="1">
      <alignment horizontal="right"/>
    </xf>
    <xf numFmtId="0" fontId="4" fillId="0" borderId="0" xfId="0" applyFont="1"/>
    <xf numFmtId="0" fontId="8" fillId="0" borderId="0" xfId="0" applyFont="1"/>
    <xf numFmtId="0" fontId="9" fillId="0" borderId="0" xfId="0" applyFont="1" applyAlignment="1">
      <alignment horizontal="right"/>
    </xf>
    <xf numFmtId="0" fontId="10" fillId="0" borderId="0" xfId="0" applyFont="1"/>
    <xf numFmtId="0" fontId="3" fillId="0" borderId="0" xfId="0" applyFont="1"/>
    <xf numFmtId="0" fontId="13" fillId="0" borderId="0" xfId="2" applyFont="1"/>
    <xf numFmtId="0" fontId="2" fillId="0" borderId="0" xfId="2"/>
    <xf numFmtId="0" fontId="5" fillId="2" borderId="43" xfId="2" applyFont="1" applyFill="1" applyBorder="1"/>
    <xf numFmtId="0" fontId="5" fillId="3" borderId="43" xfId="2" applyFont="1" applyFill="1" applyBorder="1" applyAlignment="1">
      <alignment horizontal="centerContinuous" vertical="center"/>
    </xf>
    <xf numFmtId="0" fontId="6" fillId="3" borderId="45" xfId="2" applyFont="1" applyFill="1" applyBorder="1" applyAlignment="1">
      <alignment horizontal="centerContinuous" vertical="center"/>
    </xf>
    <xf numFmtId="0" fontId="6" fillId="3" borderId="44" xfId="2" applyFont="1" applyFill="1" applyBorder="1" applyAlignment="1">
      <alignment horizontal="centerContinuous" vertical="center"/>
    </xf>
    <xf numFmtId="0" fontId="6" fillId="3" borderId="46" xfId="2" applyFont="1" applyFill="1" applyBorder="1" applyAlignment="1">
      <alignment horizontal="centerContinuous" vertical="center"/>
    </xf>
    <xf numFmtId="0" fontId="6" fillId="3" borderId="47" xfId="2" applyFont="1" applyFill="1" applyBorder="1" applyAlignment="1">
      <alignment horizontal="centerContinuous" vertical="center"/>
    </xf>
    <xf numFmtId="0" fontId="6" fillId="3" borderId="48" xfId="2" applyFont="1" applyFill="1" applyBorder="1" applyAlignment="1">
      <alignment horizontal="centerContinuous" vertical="center"/>
    </xf>
    <xf numFmtId="0" fontId="6" fillId="3" borderId="49" xfId="2" applyFont="1" applyFill="1" applyBorder="1" applyAlignment="1">
      <alignment horizontal="centerContinuous" vertical="center"/>
    </xf>
    <xf numFmtId="0" fontId="5" fillId="2" borderId="6" xfId="2" applyFont="1" applyFill="1" applyBorder="1" applyAlignment="1">
      <alignment vertical="center"/>
    </xf>
    <xf numFmtId="166" fontId="12" fillId="4" borderId="7" xfId="2" applyNumberFormat="1"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horizontal="left" vertical="center"/>
    </xf>
    <xf numFmtId="0" fontId="2" fillId="0" borderId="4" xfId="2" applyBorder="1" applyAlignment="1">
      <alignment vertical="center"/>
    </xf>
    <xf numFmtId="0" fontId="2" fillId="0" borderId="2" xfId="2" applyBorder="1" applyAlignment="1">
      <alignment horizontal="center" vertical="center"/>
    </xf>
    <xf numFmtId="166" fontId="2" fillId="0" borderId="1" xfId="1" applyNumberFormat="1" applyFont="1" applyFill="1" applyBorder="1" applyAlignment="1">
      <alignment horizontal="center"/>
    </xf>
    <xf numFmtId="0" fontId="3" fillId="3" borderId="43" xfId="2" applyFont="1" applyFill="1" applyBorder="1" applyAlignment="1">
      <alignment horizontal="centerContinuous"/>
    </xf>
    <xf numFmtId="0" fontId="2" fillId="3" borderId="44" xfId="2" applyFill="1" applyBorder="1" applyAlignment="1">
      <alignment horizontal="centerContinuous"/>
    </xf>
    <xf numFmtId="0" fontId="3" fillId="2" borderId="4" xfId="2" applyFont="1" applyFill="1" applyBorder="1"/>
    <xf numFmtId="0" fontId="2" fillId="0" borderId="6" xfId="2" applyBorder="1" applyAlignment="1">
      <alignment vertical="center"/>
    </xf>
    <xf numFmtId="0" fontId="2" fillId="0" borderId="51" xfId="2" applyBorder="1" applyAlignment="1">
      <alignment horizontal="left" vertical="center"/>
    </xf>
    <xf numFmtId="0" fontId="3" fillId="2" borderId="6" xfId="2" applyFont="1" applyFill="1" applyBorder="1"/>
    <xf numFmtId="0" fontId="2" fillId="0" borderId="0" xfId="2" applyAlignment="1">
      <alignment horizontal="center"/>
    </xf>
    <xf numFmtId="0" fontId="2" fillId="0" borderId="51" xfId="2" applyBorder="1" applyAlignment="1">
      <alignment horizontal="center" vertical="center"/>
    </xf>
    <xf numFmtId="166" fontId="2" fillId="0" borderId="0" xfId="1" applyNumberFormat="1" applyFont="1"/>
    <xf numFmtId="0" fontId="2" fillId="0" borderId="0" xfId="2" applyAlignment="1">
      <alignment horizontal="left"/>
    </xf>
    <xf numFmtId="164" fontId="2" fillId="0" borderId="0" xfId="2" applyNumberFormat="1"/>
    <xf numFmtId="0" fontId="2" fillId="0" borderId="16" xfId="2" applyBorder="1" applyAlignment="1">
      <alignment horizontal="center" vertical="center"/>
    </xf>
    <xf numFmtId="166" fontId="2" fillId="0" borderId="51" xfId="1" applyNumberFormat="1" applyFont="1" applyFill="1" applyBorder="1" applyAlignment="1">
      <alignment horizontal="center"/>
    </xf>
    <xf numFmtId="2" fontId="2" fillId="0" borderId="0" xfId="2" applyNumberFormat="1"/>
    <xf numFmtId="0" fontId="3" fillId="2" borderId="15" xfId="0" applyFont="1" applyFill="1" applyBorder="1" applyAlignment="1">
      <alignment horizontal="center"/>
    </xf>
    <xf numFmtId="0" fontId="3" fillId="3" borderId="34" xfId="0" applyFont="1" applyFill="1" applyBorder="1" applyAlignment="1">
      <alignment horizontal="centerContinuous" vertical="center"/>
    </xf>
    <xf numFmtId="0" fontId="5" fillId="2" borderId="54" xfId="2" applyFont="1" applyFill="1" applyBorder="1"/>
    <xf numFmtId="0" fontId="2" fillId="0" borderId="0" xfId="0" applyFont="1"/>
    <xf numFmtId="0" fontId="2" fillId="0" borderId="0" xfId="0" applyFont="1" applyAlignment="1">
      <alignment horizontal="center"/>
    </xf>
    <xf numFmtId="0" fontId="12" fillId="0" borderId="0" xfId="0" applyFont="1"/>
    <xf numFmtId="0" fontId="3" fillId="3" borderId="53" xfId="0" applyFont="1" applyFill="1" applyBorder="1" applyAlignment="1">
      <alignment horizontal="center"/>
    </xf>
    <xf numFmtId="0" fontId="3" fillId="3" borderId="39" xfId="0" applyFont="1" applyFill="1" applyBorder="1" applyAlignment="1">
      <alignment horizontal="centerContinuous"/>
    </xf>
    <xf numFmtId="0" fontId="3" fillId="3" borderId="15" xfId="0" applyFont="1" applyFill="1" applyBorder="1" applyAlignment="1">
      <alignment horizontal="centerContinuous"/>
    </xf>
    <xf numFmtId="0" fontId="3" fillId="3" borderId="40" xfId="0" applyFont="1" applyFill="1" applyBorder="1" applyAlignment="1">
      <alignment horizontal="centerContinuous"/>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xf>
    <xf numFmtId="0" fontId="3" fillId="2" borderId="48" xfId="0" applyFont="1" applyFill="1" applyBorder="1" applyAlignment="1">
      <alignment horizontal="center" wrapText="1"/>
    </xf>
    <xf numFmtId="0" fontId="3" fillId="3" borderId="39" xfId="0" applyFont="1" applyFill="1" applyBorder="1" applyAlignment="1">
      <alignment horizontal="centerContinuous" wrapText="1"/>
    </xf>
    <xf numFmtId="0" fontId="3" fillId="3" borderId="40" xfId="0" applyFont="1" applyFill="1" applyBorder="1" applyAlignment="1">
      <alignment horizontal="centerContinuous" wrapText="1"/>
    </xf>
    <xf numFmtId="0" fontId="3" fillId="2" borderId="13" xfId="0" applyFont="1" applyFill="1" applyBorder="1" applyAlignment="1">
      <alignment horizontal="center"/>
    </xf>
    <xf numFmtId="0" fontId="3" fillId="2" borderId="14" xfId="0" applyFont="1" applyFill="1" applyBorder="1" applyAlignment="1">
      <alignment horizontal="center"/>
    </xf>
    <xf numFmtId="166" fontId="0" fillId="0" borderId="26" xfId="1" applyNumberFormat="1" applyFont="1" applyBorder="1" applyProtection="1"/>
    <xf numFmtId="166" fontId="0" fillId="0" borderId="42" xfId="1" applyNumberFormat="1" applyFont="1" applyBorder="1" applyProtection="1"/>
    <xf numFmtId="166" fontId="0" fillId="0" borderId="4" xfId="1" applyNumberFormat="1" applyFont="1" applyBorder="1" applyProtection="1"/>
    <xf numFmtId="166" fontId="0" fillId="0" borderId="5" xfId="1" applyNumberFormat="1" applyFont="1" applyBorder="1" applyProtection="1"/>
    <xf numFmtId="166" fontId="0" fillId="0" borderId="6" xfId="0" applyNumberFormat="1" applyBorder="1"/>
    <xf numFmtId="166" fontId="0" fillId="0" borderId="7" xfId="0" applyNumberFormat="1" applyBorder="1"/>
    <xf numFmtId="166" fontId="0" fillId="0" borderId="0" xfId="1" applyNumberFormat="1" applyFont="1" applyBorder="1" applyProtection="1"/>
    <xf numFmtId="166" fontId="0" fillId="0" borderId="0" xfId="0" applyNumberFormat="1"/>
    <xf numFmtId="0" fontId="3" fillId="3" borderId="10" xfId="0" applyFont="1" applyFill="1" applyBorder="1" applyAlignment="1">
      <alignment horizontal="center" wrapText="1"/>
    </xf>
    <xf numFmtId="0" fontId="3" fillId="3" borderId="29" xfId="0" applyFont="1" applyFill="1" applyBorder="1" applyAlignment="1">
      <alignment horizontal="center" wrapText="1"/>
    </xf>
    <xf numFmtId="0" fontId="2" fillId="0" borderId="2" xfId="0" applyFont="1" applyBorder="1" applyAlignment="1">
      <alignment horizontal="center"/>
    </xf>
    <xf numFmtId="0" fontId="2" fillId="0" borderId="16" xfId="0" applyFont="1" applyBorder="1" applyAlignment="1">
      <alignment horizontal="center"/>
    </xf>
    <xf numFmtId="0" fontId="7" fillId="4" borderId="11" xfId="0" applyFont="1" applyFill="1" applyBorder="1" applyAlignment="1">
      <alignment horizontal="right"/>
    </xf>
    <xf numFmtId="165" fontId="7" fillId="4" borderId="30" xfId="0" applyNumberFormat="1" applyFont="1" applyFill="1" applyBorder="1" applyAlignment="1">
      <alignment horizontal="left"/>
    </xf>
    <xf numFmtId="0" fontId="7" fillId="4" borderId="12" xfId="0" applyFont="1" applyFill="1" applyBorder="1" applyAlignment="1">
      <alignment horizontal="right"/>
    </xf>
    <xf numFmtId="165" fontId="7" fillId="4" borderId="32" xfId="0" applyNumberFormat="1" applyFont="1" applyFill="1" applyBorder="1" applyAlignment="1">
      <alignment horizontal="left"/>
    </xf>
    <xf numFmtId="0" fontId="7" fillId="4" borderId="11" xfId="0" applyFont="1" applyFill="1" applyBorder="1" applyAlignment="1">
      <alignment horizontal="right" vertical="center"/>
    </xf>
    <xf numFmtId="0" fontId="7" fillId="4" borderId="12" xfId="0" applyFont="1" applyFill="1" applyBorder="1" applyAlignment="1">
      <alignment horizontal="right" vertical="center"/>
    </xf>
    <xf numFmtId="0" fontId="3" fillId="3" borderId="40" xfId="0" applyFont="1" applyFill="1" applyBorder="1" applyAlignment="1">
      <alignment horizontal="center" wrapText="1"/>
    </xf>
    <xf numFmtId="166" fontId="2" fillId="0" borderId="35" xfId="0" applyNumberFormat="1" applyFont="1" applyBorder="1" applyAlignment="1">
      <alignment horizontal="center"/>
    </xf>
    <xf numFmtId="166" fontId="2" fillId="0" borderId="56" xfId="0" quotePrefix="1" applyNumberFormat="1" applyFont="1" applyBorder="1" applyAlignment="1">
      <alignment horizontal="center"/>
    </xf>
    <xf numFmtId="166" fontId="2" fillId="0" borderId="56" xfId="0" applyNumberFormat="1" applyFont="1" applyBorder="1" applyAlignment="1">
      <alignment horizontal="center"/>
    </xf>
    <xf numFmtId="166" fontId="2" fillId="0" borderId="57" xfId="0" applyNumberFormat="1" applyFont="1" applyBorder="1" applyAlignment="1">
      <alignment horizontal="center"/>
    </xf>
    <xf numFmtId="166" fontId="2" fillId="0" borderId="35" xfId="0" applyNumberFormat="1" applyFont="1" applyBorder="1" applyAlignment="1">
      <alignment horizontal="center" vertical="center"/>
    </xf>
    <xf numFmtId="166" fontId="2" fillId="0" borderId="56" xfId="0" applyNumberFormat="1" applyFont="1" applyBorder="1" applyAlignment="1">
      <alignment horizontal="center" vertical="center"/>
    </xf>
    <xf numFmtId="166" fontId="2" fillId="0" borderId="57" xfId="0" applyNumberFormat="1" applyFont="1" applyBorder="1" applyAlignment="1">
      <alignment horizontal="center" vertical="center"/>
    </xf>
    <xf numFmtId="0" fontId="2" fillId="2" borderId="29" xfId="0" applyFont="1" applyFill="1" applyBorder="1" applyAlignment="1">
      <alignment horizontal="right"/>
    </xf>
    <xf numFmtId="0" fontId="2" fillId="2" borderId="31" xfId="0" applyFont="1" applyFill="1" applyBorder="1" applyAlignment="1">
      <alignment horizontal="right"/>
    </xf>
    <xf numFmtId="0" fontId="2" fillId="2" borderId="55" xfId="0" applyFont="1" applyFill="1" applyBorder="1" applyAlignment="1">
      <alignment horizontal="right"/>
    </xf>
    <xf numFmtId="0" fontId="2" fillId="0" borderId="6" xfId="0" applyFont="1" applyBorder="1" applyAlignment="1">
      <alignment horizontal="left"/>
    </xf>
    <xf numFmtId="0" fontId="2" fillId="0" borderId="51" xfId="0" applyFont="1" applyBorder="1"/>
    <xf numFmtId="0" fontId="19" fillId="0" borderId="0" xfId="5" applyFont="1"/>
    <xf numFmtId="0" fontId="19" fillId="8" borderId="0" xfId="5" applyFont="1" applyFill="1"/>
    <xf numFmtId="0" fontId="21" fillId="0" borderId="58" xfId="5" applyFont="1" applyBorder="1"/>
    <xf numFmtId="0" fontId="22" fillId="0" borderId="59" xfId="5" applyFont="1" applyBorder="1" applyAlignment="1">
      <alignment horizontal="left"/>
    </xf>
    <xf numFmtId="0" fontId="21" fillId="0" borderId="0" xfId="5" applyFont="1"/>
    <xf numFmtId="0" fontId="21" fillId="8" borderId="0" xfId="5" applyFont="1" applyFill="1"/>
    <xf numFmtId="0" fontId="18" fillId="0" borderId="60" xfId="5" applyBorder="1"/>
    <xf numFmtId="0" fontId="21" fillId="0" borderId="61" xfId="5" applyFont="1" applyBorder="1" applyAlignment="1">
      <alignment horizontal="left"/>
    </xf>
    <xf numFmtId="0" fontId="21" fillId="0" borderId="60" xfId="5" applyFont="1" applyBorder="1"/>
    <xf numFmtId="14" fontId="21" fillId="0" borderId="61" xfId="5" applyNumberFormat="1" applyFont="1" applyBorder="1" applyAlignment="1">
      <alignment horizontal="left"/>
    </xf>
    <xf numFmtId="0" fontId="21" fillId="0" borderId="62" xfId="5" applyFont="1" applyBorder="1" applyAlignment="1">
      <alignment vertical="center"/>
    </xf>
    <xf numFmtId="0" fontId="21" fillId="0" borderId="63" xfId="5" applyFont="1" applyBorder="1" applyAlignment="1">
      <alignment horizontal="left" vertical="center"/>
    </xf>
    <xf numFmtId="0" fontId="18" fillId="8" borderId="0" xfId="5" applyFill="1"/>
    <xf numFmtId="0" fontId="24" fillId="0" borderId="26" xfId="5" applyFont="1" applyBorder="1" applyAlignment="1">
      <alignment horizontal="center" vertical="center"/>
    </xf>
    <xf numFmtId="0" fontId="24" fillId="0" borderId="42" xfId="5" applyFont="1" applyBorder="1" applyAlignment="1">
      <alignment horizontal="center" vertical="center"/>
    </xf>
    <xf numFmtId="0" fontId="21" fillId="0" borderId="64" xfId="5" applyFont="1" applyBorder="1"/>
    <xf numFmtId="0" fontId="21" fillId="0" borderId="65" xfId="5" applyFont="1" applyBorder="1"/>
    <xf numFmtId="0" fontId="21" fillId="0" borderId="66" xfId="5" applyFont="1" applyBorder="1"/>
    <xf numFmtId="0" fontId="21" fillId="0" borderId="67" xfId="5" applyFont="1" applyBorder="1"/>
    <xf numFmtId="0" fontId="19" fillId="0" borderId="66" xfId="5" applyFont="1" applyBorder="1"/>
    <xf numFmtId="0" fontId="19" fillId="0" borderId="67" xfId="5" applyFont="1" applyBorder="1"/>
    <xf numFmtId="0" fontId="19" fillId="0" borderId="68" xfId="5" applyFont="1" applyBorder="1"/>
    <xf numFmtId="0" fontId="19" fillId="0" borderId="69" xfId="5" applyFont="1" applyBorder="1"/>
    <xf numFmtId="0" fontId="26" fillId="9" borderId="17" xfId="6" applyFont="1" applyBorder="1">
      <alignment horizontal="left" vertical="center"/>
    </xf>
    <xf numFmtId="0" fontId="27" fillId="5" borderId="11" xfId="6" applyFont="1" applyFill="1" applyBorder="1">
      <alignment horizontal="left" vertical="center"/>
    </xf>
    <xf numFmtId="0" fontId="27" fillId="5" borderId="41" xfId="6" applyFont="1" applyFill="1" applyBorder="1">
      <alignment horizontal="left" vertical="center"/>
    </xf>
    <xf numFmtId="0" fontId="28" fillId="5" borderId="11" xfId="6" applyFont="1" applyFill="1" applyBorder="1" applyAlignment="1">
      <alignment horizontal="center" vertical="center"/>
    </xf>
    <xf numFmtId="0" fontId="28" fillId="5" borderId="41" xfId="6" applyFont="1" applyFill="1" applyBorder="1" applyAlignment="1">
      <alignment horizontal="center" vertical="center"/>
    </xf>
    <xf numFmtId="0" fontId="19" fillId="0" borderId="70" xfId="9" applyFont="1" applyBorder="1" applyAlignment="1">
      <alignment vertical="center"/>
    </xf>
    <xf numFmtId="0" fontId="19" fillId="0" borderId="72" xfId="9" applyFont="1" applyBorder="1" applyAlignment="1">
      <alignment vertical="center"/>
    </xf>
    <xf numFmtId="0" fontId="23" fillId="0" borderId="73" xfId="7" applyBorder="1" applyAlignment="1" applyProtection="1">
      <alignment vertical="center"/>
      <protection locked="0"/>
    </xf>
    <xf numFmtId="0" fontId="19" fillId="0" borderId="74" xfId="9" applyFont="1" applyBorder="1" applyAlignment="1">
      <alignment vertical="center"/>
    </xf>
    <xf numFmtId="14" fontId="18" fillId="0" borderId="0" xfId="5" applyNumberFormat="1"/>
    <xf numFmtId="0" fontId="18" fillId="0" borderId="0" xfId="5"/>
    <xf numFmtId="0" fontId="18" fillId="0" borderId="76" xfId="9" applyBorder="1"/>
    <xf numFmtId="0" fontId="29" fillId="0" borderId="77" xfId="9" applyFont="1" applyBorder="1" applyAlignment="1">
      <alignment horizontal="left"/>
    </xf>
    <xf numFmtId="0" fontId="18" fillId="0" borderId="78" xfId="9" applyBorder="1"/>
    <xf numFmtId="0" fontId="18" fillId="0" borderId="79" xfId="9" applyBorder="1" applyAlignment="1">
      <alignment horizontal="left"/>
    </xf>
    <xf numFmtId="14" fontId="18" fillId="0" borderId="79" xfId="9" applyNumberFormat="1" applyBorder="1" applyAlignment="1">
      <alignment horizontal="left"/>
    </xf>
    <xf numFmtId="0" fontId="29" fillId="0" borderId="79" xfId="9" applyFont="1" applyBorder="1" applyAlignment="1">
      <alignment horizontal="left"/>
    </xf>
    <xf numFmtId="0" fontId="18" fillId="0" borderId="80" xfId="9" applyBorder="1" applyAlignment="1">
      <alignment horizontal="left" vertical="center"/>
    </xf>
    <xf numFmtId="0" fontId="18" fillId="0" borderId="81" xfId="9" applyBorder="1" applyAlignment="1">
      <alignment horizontal="left" vertical="center" wrapText="1"/>
    </xf>
    <xf numFmtId="0" fontId="18" fillId="0" borderId="82" xfId="9" applyBorder="1"/>
    <xf numFmtId="14" fontId="18" fillId="0" borderId="83" xfId="9" applyNumberFormat="1" applyBorder="1" applyAlignment="1">
      <alignment horizontal="left"/>
    </xf>
    <xf numFmtId="0" fontId="24" fillId="0" borderId="26" xfId="5" applyFont="1" applyBorder="1" applyAlignment="1">
      <alignment horizontal="center"/>
    </xf>
    <xf numFmtId="0" fontId="24" fillId="0" borderId="42" xfId="5" applyFont="1" applyBorder="1" applyAlignment="1">
      <alignment horizontal="center"/>
    </xf>
    <xf numFmtId="14" fontId="18" fillId="0" borderId="59" xfId="5" applyNumberFormat="1" applyBorder="1" applyAlignment="1">
      <alignment horizontal="center" wrapText="1"/>
    </xf>
    <xf numFmtId="0" fontId="18" fillId="0" borderId="60" xfId="5" applyBorder="1" applyAlignment="1">
      <alignment horizontal="center" vertical="center" wrapText="1"/>
    </xf>
    <xf numFmtId="14" fontId="18" fillId="0" borderId="61" xfId="5" applyNumberFormat="1" applyBorder="1" applyAlignment="1">
      <alignment horizontal="center" wrapText="1"/>
    </xf>
    <xf numFmtId="0" fontId="21" fillId="0" borderId="0" xfId="5" applyFont="1" applyAlignment="1">
      <alignment horizontal="center"/>
    </xf>
    <xf numFmtId="167" fontId="18" fillId="0" borderId="60" xfId="5" applyNumberFormat="1" applyBorder="1" applyAlignment="1">
      <alignment horizontal="center" vertical="center" wrapText="1"/>
    </xf>
    <xf numFmtId="0" fontId="30" fillId="0" borderId="60" xfId="5" applyFont="1" applyBorder="1" applyAlignment="1">
      <alignment horizontal="center" vertical="center" wrapText="1"/>
    </xf>
    <xf numFmtId="0" fontId="30" fillId="0" borderId="84" xfId="5" applyFont="1" applyBorder="1" applyAlignment="1">
      <alignment horizontal="center" vertical="center" wrapText="1"/>
    </xf>
    <xf numFmtId="14" fontId="18" fillId="0" borderId="85" xfId="5" applyNumberFormat="1" applyBorder="1" applyAlignment="1">
      <alignment horizontal="center" wrapText="1"/>
    </xf>
    <xf numFmtId="0" fontId="30" fillId="0" borderId="84" xfId="5" applyFont="1" applyBorder="1" applyAlignment="1">
      <alignment horizontal="center" wrapText="1"/>
    </xf>
    <xf numFmtId="0" fontId="30" fillId="0" borderId="84" xfId="5" applyFont="1" applyBorder="1" applyAlignment="1">
      <alignment wrapText="1"/>
    </xf>
    <xf numFmtId="0" fontId="18" fillId="0" borderId="62" xfId="5" applyBorder="1" applyAlignment="1">
      <alignment wrapText="1"/>
    </xf>
    <xf numFmtId="14" fontId="18" fillId="0" borderId="63" xfId="5" applyNumberFormat="1" applyBorder="1" applyAlignment="1">
      <alignment horizontal="center" wrapText="1"/>
    </xf>
    <xf numFmtId="14" fontId="18" fillId="8" borderId="0" xfId="5" applyNumberFormat="1" applyFill="1"/>
    <xf numFmtId="167" fontId="18" fillId="0" borderId="58" xfId="5" applyNumberFormat="1" applyBorder="1" applyAlignment="1">
      <alignment horizontal="center" vertical="center" wrapText="1"/>
    </xf>
    <xf numFmtId="164" fontId="21" fillId="12" borderId="30" xfId="3" applyNumberFormat="1" applyFont="1" applyFill="1" applyBorder="1" applyAlignment="1" applyProtection="1">
      <alignment horizontal="center" vertical="center"/>
    </xf>
    <xf numFmtId="0" fontId="19" fillId="14" borderId="30" xfId="4" applyFont="1" applyFill="1" applyBorder="1" applyAlignment="1" applyProtection="1">
      <alignment horizontal="center" vertical="center"/>
    </xf>
    <xf numFmtId="0" fontId="23" fillId="0" borderId="71" xfId="7" applyBorder="1" applyAlignment="1" applyProtection="1">
      <alignment vertical="center"/>
      <protection locked="0"/>
    </xf>
    <xf numFmtId="0" fontId="23" fillId="0" borderId="0" xfId="7" applyAlignment="1" applyProtection="1">
      <protection locked="0"/>
    </xf>
    <xf numFmtId="0" fontId="21" fillId="0" borderId="60" xfId="5" applyFont="1" applyBorder="1" applyAlignment="1">
      <alignment vertical="center"/>
    </xf>
    <xf numFmtId="0" fontId="21" fillId="0" borderId="61" xfId="5" applyFont="1" applyBorder="1" applyAlignment="1">
      <alignment horizontal="left" vertical="center" wrapText="1"/>
    </xf>
    <xf numFmtId="0" fontId="21" fillId="0" borderId="62" xfId="5" applyFont="1" applyBorder="1"/>
    <xf numFmtId="14" fontId="21" fillId="0" borderId="63" xfId="5" applyNumberFormat="1" applyFont="1" applyBorder="1" applyAlignment="1">
      <alignment horizontal="left"/>
    </xf>
    <xf numFmtId="0" fontId="24" fillId="0" borderId="33" xfId="5" applyFont="1" applyBorder="1" applyAlignment="1">
      <alignment horizontal="center" vertical="center"/>
    </xf>
    <xf numFmtId="0" fontId="30" fillId="13" borderId="5" xfId="10" applyFill="1" applyBorder="1" applyProtection="1">
      <alignment horizontal="center" vertical="center"/>
      <protection locked="0"/>
    </xf>
    <xf numFmtId="0" fontId="18" fillId="0" borderId="89" xfId="5" applyBorder="1" applyAlignment="1">
      <alignment horizontal="left"/>
    </xf>
    <xf numFmtId="0" fontId="18" fillId="0" borderId="90" xfId="5" applyBorder="1" applyAlignment="1">
      <alignment horizontal="left"/>
    </xf>
    <xf numFmtId="14" fontId="30" fillId="13" borderId="1" xfId="10" applyNumberFormat="1" applyFill="1" applyProtection="1">
      <alignment horizontal="center" vertical="center"/>
      <protection locked="0"/>
    </xf>
    <xf numFmtId="14" fontId="30" fillId="13" borderId="51" xfId="10" applyNumberFormat="1" applyFill="1" applyBorder="1" applyProtection="1">
      <alignment horizontal="center" vertical="center"/>
      <protection locked="0"/>
    </xf>
    <xf numFmtId="0" fontId="23" fillId="0" borderId="75" xfId="7" applyBorder="1" applyAlignment="1" applyProtection="1">
      <alignment vertical="center"/>
      <protection locked="0"/>
    </xf>
    <xf numFmtId="0" fontId="0" fillId="8" borderId="0" xfId="0" applyFill="1"/>
    <xf numFmtId="0" fontId="2" fillId="8" borderId="0" xfId="2" applyFill="1"/>
    <xf numFmtId="164" fontId="2" fillId="8" borderId="0" xfId="2" applyNumberFormat="1" applyFill="1"/>
    <xf numFmtId="2" fontId="2" fillId="8" borderId="0" xfId="2" applyNumberFormat="1" applyFill="1"/>
    <xf numFmtId="14" fontId="30" fillId="4" borderId="1" xfId="10" applyNumberFormat="1" applyFill="1" applyProtection="1">
      <alignment horizontal="center" vertical="center"/>
    </xf>
    <xf numFmtId="0" fontId="21" fillId="0" borderId="84" xfId="5" applyFont="1" applyBorder="1"/>
    <xf numFmtId="14" fontId="21" fillId="0" borderId="85" xfId="5" applyNumberFormat="1" applyFont="1" applyBorder="1" applyAlignment="1">
      <alignment horizontal="left"/>
    </xf>
    <xf numFmtId="0" fontId="19" fillId="15" borderId="39" xfId="6" applyFont="1" applyFill="1" applyBorder="1" applyAlignment="1" applyProtection="1">
      <alignment vertical="center"/>
    </xf>
    <xf numFmtId="0" fontId="19" fillId="15" borderId="40" xfId="6" applyFont="1" applyFill="1" applyBorder="1" applyAlignment="1" applyProtection="1">
      <alignment vertical="center" wrapText="1"/>
    </xf>
    <xf numFmtId="0" fontId="0" fillId="8" borderId="0" xfId="0" applyFill="1" applyAlignment="1">
      <alignment horizontal="center"/>
    </xf>
    <xf numFmtId="164" fontId="0" fillId="8" borderId="0" xfId="0" applyNumberFormat="1" applyFill="1"/>
    <xf numFmtId="0" fontId="3" fillId="3" borderId="54" xfId="0" applyFont="1" applyFill="1" applyBorder="1" applyAlignment="1">
      <alignment horizontal="center" vertical="center" wrapText="1"/>
    </xf>
    <xf numFmtId="0" fontId="2" fillId="2" borderId="13" xfId="0" applyFont="1" applyFill="1" applyBorder="1"/>
    <xf numFmtId="0" fontId="2" fillId="2" borderId="13" xfId="0" applyFont="1" applyFill="1" applyBorder="1" applyAlignment="1">
      <alignment horizontal="center"/>
    </xf>
    <xf numFmtId="0" fontId="2" fillId="2" borderId="14" xfId="0" applyFon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20" fillId="0" borderId="0" xfId="6" applyFill="1" applyBorder="1" applyAlignment="1">
      <alignment vertical="center"/>
    </xf>
    <xf numFmtId="0" fontId="22" fillId="0" borderId="0" xfId="5" applyFont="1" applyAlignment="1">
      <alignment vertical="center"/>
    </xf>
    <xf numFmtId="0" fontId="21" fillId="0" borderId="0" xfId="5" applyFont="1" applyAlignment="1">
      <alignment vertical="center"/>
    </xf>
    <xf numFmtId="14" fontId="21" fillId="0" borderId="0" xfId="5" applyNumberFormat="1" applyFont="1" applyAlignment="1">
      <alignment vertical="center"/>
    </xf>
    <xf numFmtId="0" fontId="21" fillId="0" borderId="78" xfId="9" applyFont="1" applyBorder="1" applyAlignment="1">
      <alignment vertical="center"/>
    </xf>
    <xf numFmtId="0" fontId="21" fillId="0" borderId="112" xfId="9" applyFont="1" applyBorder="1" applyAlignment="1">
      <alignment vertical="center"/>
    </xf>
    <xf numFmtId="1" fontId="0" fillId="0" borderId="1" xfId="0" applyNumberFormat="1" applyBorder="1" applyAlignment="1">
      <alignment horizontal="center"/>
    </xf>
    <xf numFmtId="164" fontId="0" fillId="4" borderId="1" xfId="0" applyNumberFormat="1" applyFill="1" applyBorder="1" applyAlignment="1">
      <alignment horizontal="center"/>
    </xf>
    <xf numFmtId="0" fontId="2" fillId="2" borderId="21" xfId="0" applyFont="1" applyFill="1" applyBorder="1"/>
    <xf numFmtId="1" fontId="0" fillId="0" borderId="33" xfId="0" applyNumberFormat="1" applyBorder="1" applyAlignment="1">
      <alignment horizontal="center"/>
    </xf>
    <xf numFmtId="0" fontId="3" fillId="3" borderId="113" xfId="0" applyFont="1" applyFill="1" applyBorder="1" applyAlignment="1">
      <alignment horizontal="center"/>
    </xf>
    <xf numFmtId="0" fontId="3" fillId="3" borderId="114" xfId="0" applyFont="1" applyFill="1" applyBorder="1" applyAlignment="1">
      <alignment horizontal="center"/>
    </xf>
    <xf numFmtId="0" fontId="3" fillId="3" borderId="115" xfId="0" applyFont="1" applyFill="1" applyBorder="1" applyAlignment="1">
      <alignment horizontal="center"/>
    </xf>
    <xf numFmtId="0" fontId="24" fillId="10" borderId="116" xfId="8" applyFont="1" applyFill="1" applyBorder="1" applyAlignment="1">
      <alignment horizontal="center" vertical="center"/>
    </xf>
    <xf numFmtId="0" fontId="25" fillId="11" borderId="117" xfId="9" applyFont="1" applyFill="1" applyBorder="1" applyAlignment="1">
      <alignment horizontal="center" vertical="center"/>
    </xf>
    <xf numFmtId="0" fontId="19" fillId="0" borderId="32" xfId="9" applyFont="1" applyBorder="1" applyAlignment="1">
      <alignment horizontal="center" vertical="center"/>
    </xf>
    <xf numFmtId="0" fontId="2" fillId="12" borderId="44" xfId="2" applyFill="1" applyBorder="1" applyAlignment="1" applyProtection="1">
      <alignment horizontal="center" vertical="center"/>
      <protection locked="0"/>
    </xf>
    <xf numFmtId="0" fontId="2" fillId="12" borderId="5" xfId="2" applyFill="1" applyBorder="1" applyProtection="1">
      <protection locked="0"/>
    </xf>
    <xf numFmtId="14" fontId="2" fillId="12" borderId="5" xfId="2" applyNumberFormat="1" applyFill="1" applyBorder="1" applyAlignment="1" applyProtection="1">
      <alignment horizontal="center"/>
      <protection locked="0"/>
    </xf>
    <xf numFmtId="0" fontId="2" fillId="12" borderId="7" xfId="2" applyFill="1" applyBorder="1" applyProtection="1">
      <protection locked="0"/>
    </xf>
    <xf numFmtId="0" fontId="2" fillId="12" borderId="1" xfId="2" applyFill="1" applyBorder="1" applyAlignment="1" applyProtection="1">
      <alignment horizontal="center"/>
      <protection locked="0"/>
    </xf>
    <xf numFmtId="0" fontId="2" fillId="12" borderId="51" xfId="2" applyFill="1" applyBorder="1" applyAlignment="1" applyProtection="1">
      <alignment horizontal="center"/>
      <protection locked="0"/>
    </xf>
    <xf numFmtId="0" fontId="2" fillId="12" borderId="2" xfId="2" applyFill="1" applyBorder="1" applyAlignment="1" applyProtection="1">
      <alignment horizontal="left" vertical="center"/>
      <protection locked="0"/>
    </xf>
    <xf numFmtId="0" fontId="2" fillId="12" borderId="16" xfId="2" applyFill="1" applyBorder="1" applyAlignment="1" applyProtection="1">
      <alignment horizontal="left" vertical="center"/>
      <protection locked="0"/>
    </xf>
    <xf numFmtId="0" fontId="2" fillId="12" borderId="2" xfId="2" applyFill="1" applyBorder="1" applyAlignment="1" applyProtection="1">
      <alignment horizontal="center" vertical="center"/>
      <protection locked="0"/>
    </xf>
    <xf numFmtId="0" fontId="2" fillId="12" borderId="16" xfId="2" applyFill="1" applyBorder="1" applyAlignment="1" applyProtection="1">
      <alignment horizontal="center" vertical="center"/>
      <protection locked="0"/>
    </xf>
    <xf numFmtId="0" fontId="2" fillId="12" borderId="5" xfId="2" applyFill="1" applyBorder="1" applyAlignment="1" applyProtection="1">
      <alignment horizontal="left"/>
      <protection locked="0"/>
    </xf>
    <xf numFmtId="0" fontId="2" fillId="12" borderId="7" xfId="2" applyFill="1" applyBorder="1" applyAlignment="1" applyProtection="1">
      <alignment horizontal="left"/>
      <protection locked="0"/>
    </xf>
    <xf numFmtId="164" fontId="11" fillId="12" borderId="22" xfId="0" applyNumberFormat="1" applyFont="1" applyFill="1" applyBorder="1" applyAlignment="1" applyProtection="1">
      <alignment horizontal="center"/>
      <protection locked="0"/>
    </xf>
    <xf numFmtId="0" fontId="11" fillId="12" borderId="4" xfId="0" applyFont="1" applyFill="1" applyBorder="1" applyAlignment="1" applyProtection="1">
      <alignment horizontal="center"/>
      <protection locked="0"/>
    </xf>
    <xf numFmtId="164" fontId="11" fillId="12" borderId="23"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25" xfId="0" applyFont="1" applyFill="1" applyBorder="1" applyAlignment="1" applyProtection="1">
      <alignment horizontal="center"/>
      <protection locked="0"/>
    </xf>
    <xf numFmtId="164" fontId="11" fillId="12" borderId="27" xfId="0" applyNumberFormat="1"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4" xfId="0" applyNumberFormat="1" applyFont="1" applyFill="1" applyBorder="1" applyAlignment="1" applyProtection="1">
      <alignment horizontal="center"/>
      <protection locked="0"/>
    </xf>
    <xf numFmtId="165" fontId="0" fillId="2" borderId="0" xfId="0" applyNumberFormat="1" applyFill="1" applyAlignment="1">
      <alignment horizontal="center"/>
    </xf>
    <xf numFmtId="0" fontId="0" fillId="2" borderId="0" xfId="0" applyFill="1"/>
    <xf numFmtId="0" fontId="0" fillId="2" borderId="30" xfId="0" applyFill="1" applyBorder="1"/>
    <xf numFmtId="0" fontId="0" fillId="2" borderId="9" xfId="0" applyFill="1" applyBorder="1"/>
    <xf numFmtId="165" fontId="0" fillId="2" borderId="9" xfId="0" applyNumberFormat="1" applyFill="1" applyBorder="1" applyAlignment="1">
      <alignment horizontal="center"/>
    </xf>
    <xf numFmtId="0" fontId="0" fillId="2" borderId="32" xfId="0" applyFill="1" applyBorder="1"/>
    <xf numFmtId="0" fontId="3" fillId="2" borderId="14" xfId="0" applyFont="1" applyFill="1" applyBorder="1"/>
    <xf numFmtId="0" fontId="3" fillId="0" borderId="51" xfId="0" applyFont="1" applyBorder="1" applyAlignment="1">
      <alignment horizontal="center"/>
    </xf>
    <xf numFmtId="166" fontId="11" fillId="4" borderId="43" xfId="0" applyNumberFormat="1" applyFont="1" applyFill="1" applyBorder="1" applyAlignment="1">
      <alignment horizontal="center"/>
    </xf>
    <xf numFmtId="166" fontId="11" fillId="4" borderId="26" xfId="0" applyNumberFormat="1" applyFont="1" applyFill="1" applyBorder="1" applyAlignment="1">
      <alignment horizontal="center"/>
    </xf>
    <xf numFmtId="166" fontId="11" fillId="4" borderId="4" xfId="0" applyNumberFormat="1" applyFont="1" applyFill="1" applyBorder="1" applyAlignment="1">
      <alignment horizontal="center"/>
    </xf>
    <xf numFmtId="166" fontId="11" fillId="4" borderId="6" xfId="0" applyNumberFormat="1" applyFont="1" applyFill="1" applyBorder="1" applyAlignment="1">
      <alignment horizontal="center"/>
    </xf>
    <xf numFmtId="166" fontId="0" fillId="4" borderId="17" xfId="0" applyNumberFormat="1" applyFill="1" applyBorder="1" applyAlignment="1">
      <alignment horizontal="right"/>
    </xf>
    <xf numFmtId="166" fontId="0" fillId="4" borderId="18" xfId="0" applyNumberFormat="1" applyFill="1" applyBorder="1" applyAlignment="1">
      <alignment horizontal="right"/>
    </xf>
    <xf numFmtId="166" fontId="0" fillId="4" borderId="13" xfId="1" applyNumberFormat="1" applyFont="1" applyFill="1" applyBorder="1" applyAlignment="1" applyProtection="1">
      <alignment horizontal="right"/>
    </xf>
    <xf numFmtId="166" fontId="0" fillId="4" borderId="19" xfId="0" applyNumberFormat="1" applyFill="1" applyBorder="1" applyAlignment="1">
      <alignment horizontal="right"/>
    </xf>
    <xf numFmtId="166" fontId="0" fillId="4" borderId="14" xfId="1" applyNumberFormat="1" applyFont="1" applyFill="1" applyBorder="1" applyAlignment="1" applyProtection="1">
      <alignment horizontal="right"/>
    </xf>
    <xf numFmtId="166" fontId="0" fillId="4" borderId="20" xfId="0" applyNumberFormat="1" applyFill="1" applyBorder="1" applyAlignment="1">
      <alignment horizontal="right"/>
    </xf>
    <xf numFmtId="166" fontId="0" fillId="4" borderId="21" xfId="1" applyNumberFormat="1" applyFont="1" applyFill="1" applyBorder="1" applyAlignment="1" applyProtection="1">
      <alignment horizontal="right"/>
    </xf>
    <xf numFmtId="166" fontId="0" fillId="4" borderId="26" xfId="1" applyNumberFormat="1" applyFont="1" applyFill="1" applyBorder="1" applyProtection="1"/>
    <xf numFmtId="166" fontId="0" fillId="4" borderId="42" xfId="1" applyNumberFormat="1" applyFont="1" applyFill="1" applyBorder="1" applyProtection="1"/>
    <xf numFmtId="166" fontId="0" fillId="4" borderId="4" xfId="1" applyNumberFormat="1" applyFont="1" applyFill="1" applyBorder="1" applyProtection="1"/>
    <xf numFmtId="166" fontId="0" fillId="4" borderId="5" xfId="1" applyNumberFormat="1" applyFont="1" applyFill="1" applyBorder="1" applyProtection="1"/>
    <xf numFmtId="166" fontId="0" fillId="4" borderId="6" xfId="0" applyNumberFormat="1" applyFill="1" applyBorder="1"/>
    <xf numFmtId="166" fontId="0" fillId="4" borderId="7" xfId="0" applyNumberFormat="1" applyFill="1" applyBorder="1"/>
    <xf numFmtId="166" fontId="2" fillId="4" borderId="46" xfId="0" applyNumberFormat="1" applyFont="1" applyFill="1" applyBorder="1" applyAlignment="1">
      <alignment horizontal="center"/>
    </xf>
    <xf numFmtId="166" fontId="2" fillId="4" borderId="30" xfId="0" applyNumberFormat="1" applyFont="1" applyFill="1" applyBorder="1" applyAlignment="1">
      <alignment horizontal="center"/>
    </xf>
    <xf numFmtId="166" fontId="2" fillId="4" borderId="32" xfId="0" applyNumberFormat="1" applyFont="1" applyFill="1" applyBorder="1" applyAlignment="1">
      <alignment horizontal="center"/>
    </xf>
    <xf numFmtId="166" fontId="2" fillId="4" borderId="46" xfId="0" applyNumberFormat="1" applyFont="1" applyFill="1" applyBorder="1" applyAlignment="1">
      <alignment horizontal="center" vertical="center"/>
    </xf>
    <xf numFmtId="166" fontId="2" fillId="4" borderId="30" xfId="0" applyNumberFormat="1" applyFont="1" applyFill="1" applyBorder="1" applyAlignment="1">
      <alignment horizontal="center" vertical="center"/>
    </xf>
    <xf numFmtId="166" fontId="2" fillId="4" borderId="32" xfId="0" applyNumberFormat="1" applyFont="1" applyFill="1" applyBorder="1" applyAlignment="1">
      <alignment horizontal="center" vertical="center"/>
    </xf>
    <xf numFmtId="0" fontId="2" fillId="4" borderId="44" xfId="2" applyFill="1" applyBorder="1" applyAlignment="1">
      <alignment horizontal="center" vertical="center"/>
    </xf>
    <xf numFmtId="164" fontId="0" fillId="4" borderId="51" xfId="0" applyNumberFormat="1" applyFill="1" applyBorder="1" applyAlignment="1">
      <alignment horizontal="center"/>
    </xf>
    <xf numFmtId="165" fontId="0" fillId="4" borderId="98" xfId="0" applyNumberFormat="1" applyFill="1" applyBorder="1" applyAlignment="1">
      <alignment horizontal="center"/>
    </xf>
    <xf numFmtId="165" fontId="0" fillId="4" borderId="99" xfId="0" applyNumberFormat="1" applyFill="1" applyBorder="1" applyAlignment="1">
      <alignment horizontal="center"/>
    </xf>
    <xf numFmtId="165" fontId="3" fillId="4" borderId="100" xfId="0" applyNumberFormat="1" applyFont="1" applyFill="1" applyBorder="1" applyAlignment="1">
      <alignment horizontal="center"/>
    </xf>
    <xf numFmtId="165" fontId="0" fillId="4" borderId="33" xfId="0" applyNumberFormat="1" applyFill="1" applyBorder="1" applyAlignment="1">
      <alignment horizontal="center"/>
    </xf>
    <xf numFmtId="165" fontId="0" fillId="4" borderId="1" xfId="0" applyNumberFormat="1" applyFill="1" applyBorder="1" applyAlignment="1">
      <alignment horizontal="center"/>
    </xf>
    <xf numFmtId="165" fontId="0" fillId="4" borderId="42" xfId="0" applyNumberFormat="1" applyFill="1" applyBorder="1" applyAlignment="1">
      <alignment horizontal="center"/>
    </xf>
    <xf numFmtId="165" fontId="0" fillId="4" borderId="5" xfId="0" applyNumberFormat="1" applyFill="1" applyBorder="1" applyAlignment="1">
      <alignment horizontal="center"/>
    </xf>
    <xf numFmtId="165" fontId="2" fillId="4" borderId="96" xfId="0" applyNumberFormat="1" applyFont="1" applyFill="1" applyBorder="1" applyAlignment="1">
      <alignment horizontal="center"/>
    </xf>
    <xf numFmtId="10" fontId="3" fillId="4" borderId="96" xfId="0" applyNumberFormat="1" applyFont="1" applyFill="1" applyBorder="1" applyAlignment="1">
      <alignment horizontal="center"/>
    </xf>
    <xf numFmtId="10" fontId="2" fillId="4" borderId="97" xfId="0" applyNumberFormat="1" applyFont="1" applyFill="1" applyBorder="1" applyAlignment="1">
      <alignment horizontal="center"/>
    </xf>
    <xf numFmtId="166" fontId="0" fillId="4" borderId="98" xfId="1" applyNumberFormat="1" applyFont="1" applyFill="1" applyBorder="1" applyAlignment="1">
      <alignment horizontal="center"/>
    </xf>
    <xf numFmtId="166" fontId="0" fillId="4" borderId="42" xfId="1" applyNumberFormat="1" applyFont="1" applyFill="1" applyBorder="1" applyAlignment="1">
      <alignment horizontal="center"/>
    </xf>
    <xf numFmtId="166" fontId="0" fillId="4" borderId="99" xfId="1" applyNumberFormat="1" applyFont="1" applyFill="1" applyBorder="1" applyAlignment="1">
      <alignment horizontal="center"/>
    </xf>
    <xf numFmtId="166" fontId="0" fillId="4" borderId="5" xfId="1" applyNumberFormat="1" applyFont="1" applyFill="1" applyBorder="1" applyAlignment="1">
      <alignment horizontal="center"/>
    </xf>
    <xf numFmtId="166" fontId="0" fillId="4" borderId="100" xfId="1" applyNumberFormat="1" applyFont="1" applyFill="1" applyBorder="1" applyAlignment="1">
      <alignment horizontal="center"/>
    </xf>
    <xf numFmtId="166" fontId="0" fillId="4" borderId="7" xfId="1" applyNumberFormat="1" applyFont="1" applyFill="1" applyBorder="1" applyAlignment="1">
      <alignment horizontal="center"/>
    </xf>
    <xf numFmtId="0" fontId="18" fillId="0" borderId="91" xfId="5" applyBorder="1" applyAlignment="1">
      <alignment horizontal="left"/>
    </xf>
    <xf numFmtId="0" fontId="18" fillId="0" borderId="92" xfId="5" applyBorder="1" applyAlignment="1">
      <alignment horizontal="left"/>
    </xf>
    <xf numFmtId="0" fontId="30" fillId="13" borderId="7" xfId="10" applyFill="1" applyBorder="1" applyProtection="1">
      <alignment horizontal="center" vertical="center"/>
      <protection locked="0"/>
    </xf>
    <xf numFmtId="0" fontId="31" fillId="0" borderId="0" xfId="2" applyFont="1"/>
    <xf numFmtId="0" fontId="3" fillId="2" borderId="4" xfId="2" applyFont="1" applyFill="1" applyBorder="1" applyAlignment="1">
      <alignment horizontal="center" vertical="center" wrapText="1"/>
    </xf>
    <xf numFmtId="0" fontId="2" fillId="0" borderId="0" xfId="2"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27" fillId="9" borderId="117" xfId="6" applyFont="1" applyBorder="1">
      <alignment horizontal="left" vertical="center"/>
    </xf>
    <xf numFmtId="0" fontId="2" fillId="8" borderId="0" xfId="0" applyFont="1" applyFill="1"/>
    <xf numFmtId="0" fontId="3" fillId="3" borderId="49" xfId="0" applyFont="1" applyFill="1" applyBorder="1" applyAlignment="1">
      <alignment horizontal="centerContinuous"/>
    </xf>
    <xf numFmtId="0" fontId="3" fillId="3" borderId="48" xfId="0" applyFont="1" applyFill="1" applyBorder="1" applyAlignment="1">
      <alignment horizontal="centerContinuous"/>
    </xf>
    <xf numFmtId="0" fontId="3" fillId="3" borderId="49" xfId="0" applyFont="1" applyFill="1" applyBorder="1" applyAlignment="1">
      <alignment horizontal="centerContinuous" vertical="center"/>
    </xf>
    <xf numFmtId="0" fontId="3" fillId="3" borderId="48" xfId="0" applyFont="1" applyFill="1" applyBorder="1" applyAlignment="1">
      <alignment horizontal="centerContinuous" vertical="center"/>
    </xf>
    <xf numFmtId="0" fontId="3" fillId="2" borderId="54" xfId="0" applyFont="1" applyFill="1" applyBorder="1" applyAlignment="1">
      <alignment horizontal="center"/>
    </xf>
    <xf numFmtId="0" fontId="3" fillId="2" borderId="115" xfId="0" applyFont="1" applyFill="1" applyBorder="1" applyAlignment="1">
      <alignment horizontal="center"/>
    </xf>
    <xf numFmtId="0" fontId="11" fillId="12" borderId="43" xfId="0" applyFont="1" applyFill="1" applyBorder="1" applyAlignment="1" applyProtection="1">
      <alignment horizontal="center"/>
      <protection locked="0"/>
    </xf>
    <xf numFmtId="164" fontId="11" fillId="12" borderId="44" xfId="0" applyNumberFormat="1" applyFont="1" applyFill="1" applyBorder="1" applyAlignment="1" applyProtection="1">
      <alignment horizontal="center"/>
      <protection locked="0"/>
    </xf>
    <xf numFmtId="164" fontId="2" fillId="0" borderId="0" xfId="0" applyNumberFormat="1" applyFont="1"/>
    <xf numFmtId="164" fontId="2" fillId="8" borderId="0" xfId="0" applyNumberFormat="1" applyFont="1" applyFill="1"/>
    <xf numFmtId="0" fontId="2" fillId="0" borderId="0" xfId="0" applyFont="1" applyAlignment="1">
      <alignment horizontal="left"/>
    </xf>
    <xf numFmtId="0" fontId="2" fillId="4" borderId="115" xfId="2" applyFill="1" applyBorder="1" applyAlignment="1">
      <alignment horizontal="center" vertical="center"/>
    </xf>
    <xf numFmtId="0" fontId="2" fillId="0" borderId="47" xfId="0" applyFont="1" applyBorder="1" applyAlignment="1">
      <alignment horizontal="center"/>
    </xf>
    <xf numFmtId="166" fontId="0" fillId="4" borderId="116" xfId="1" applyNumberFormat="1" applyFont="1" applyFill="1" applyBorder="1" applyAlignment="1" applyProtection="1">
      <alignment horizontal="right"/>
    </xf>
    <xf numFmtId="166" fontId="2" fillId="4" borderId="18" xfId="0" applyNumberFormat="1" applyFont="1" applyFill="1" applyBorder="1" applyAlignment="1">
      <alignment horizontal="right"/>
    </xf>
    <xf numFmtId="0" fontId="3" fillId="2" borderId="54"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3" fillId="3" borderId="113" xfId="0" applyFont="1" applyFill="1" applyBorder="1" applyAlignment="1">
      <alignment horizontal="center" wrapText="1"/>
    </xf>
    <xf numFmtId="0" fontId="3" fillId="3" borderId="114" xfId="0" applyFont="1" applyFill="1" applyBorder="1" applyAlignment="1">
      <alignment horizontal="center" vertical="center"/>
    </xf>
    <xf numFmtId="0" fontId="3" fillId="3" borderId="114" xfId="0" applyFont="1" applyFill="1" applyBorder="1" applyAlignment="1">
      <alignment horizontal="center" vertical="center" wrapText="1"/>
    </xf>
    <xf numFmtId="0" fontId="3" fillId="3" borderId="115" xfId="0" applyFont="1" applyFill="1" applyBorder="1" applyAlignment="1">
      <alignment horizontal="center" vertical="center"/>
    </xf>
    <xf numFmtId="0" fontId="2" fillId="4" borderId="7" xfId="0" applyFont="1" applyFill="1" applyBorder="1" applyAlignment="1">
      <alignment horizontal="center"/>
    </xf>
    <xf numFmtId="0" fontId="2" fillId="2" borderId="116" xfId="0" applyFont="1" applyFill="1" applyBorder="1" applyAlignment="1">
      <alignment horizontal="center"/>
    </xf>
    <xf numFmtId="165" fontId="2" fillId="4" borderId="117" xfId="0" applyNumberFormat="1" applyFont="1" applyFill="1" applyBorder="1" applyAlignment="1">
      <alignment horizontal="center"/>
    </xf>
    <xf numFmtId="0" fontId="0" fillId="2" borderId="116" xfId="0" applyFill="1" applyBorder="1" applyAlignment="1">
      <alignment horizontal="center"/>
    </xf>
    <xf numFmtId="0" fontId="19" fillId="15" borderId="10" xfId="6" applyFont="1" applyFill="1" applyBorder="1" applyAlignment="1">
      <alignment horizontal="left" vertical="center" wrapText="1"/>
    </xf>
    <xf numFmtId="0" fontId="19" fillId="15" borderId="46" xfId="6" applyFont="1" applyFill="1" applyBorder="1" applyAlignment="1">
      <alignment horizontal="left" vertical="center" wrapText="1"/>
    </xf>
    <xf numFmtId="0" fontId="19" fillId="15" borderId="11" xfId="6" applyFont="1" applyFill="1" applyBorder="1" applyAlignment="1">
      <alignment horizontal="left" vertical="center" wrapText="1"/>
    </xf>
    <xf numFmtId="0" fontId="19" fillId="15" borderId="30" xfId="6" applyFont="1" applyFill="1" applyBorder="1" applyAlignment="1">
      <alignment horizontal="left" vertical="center" wrapText="1"/>
    </xf>
    <xf numFmtId="0" fontId="19" fillId="15" borderId="12" xfId="6" applyFont="1" applyFill="1" applyBorder="1" applyAlignment="1">
      <alignment horizontal="left" vertical="center" wrapText="1"/>
    </xf>
    <xf numFmtId="0" fontId="19" fillId="15" borderId="32" xfId="6" applyFont="1" applyFill="1" applyBorder="1" applyAlignment="1">
      <alignment horizontal="left" vertical="center" wrapText="1"/>
    </xf>
    <xf numFmtId="0" fontId="24" fillId="10" borderId="13" xfId="8" applyFont="1" applyFill="1" applyBorder="1" applyAlignment="1">
      <alignment horizontal="center" vertical="center"/>
    </xf>
    <xf numFmtId="0" fontId="24" fillId="10" borderId="14" xfId="8" applyFont="1" applyFill="1" applyBorder="1" applyAlignment="1">
      <alignment horizontal="center" vertical="center"/>
    </xf>
    <xf numFmtId="0" fontId="20" fillId="9" borderId="39" xfId="6" applyBorder="1">
      <alignment horizontal="left" vertical="center"/>
    </xf>
    <xf numFmtId="0" fontId="20" fillId="9" borderId="40" xfId="6" applyBorder="1">
      <alignment horizontal="left" vertical="center"/>
    </xf>
    <xf numFmtId="0" fontId="20" fillId="9" borderId="39" xfId="6" applyBorder="1" applyProtection="1">
      <alignment horizontal="left" vertical="center"/>
    </xf>
    <xf numFmtId="0" fontId="20" fillId="9" borderId="40" xfId="6" applyBorder="1" applyProtection="1">
      <alignment horizontal="left" vertical="center"/>
    </xf>
    <xf numFmtId="0" fontId="23" fillId="0" borderId="12" xfId="7" applyBorder="1" applyAlignment="1" applyProtection="1">
      <alignment horizontal="left" vertical="center" wrapText="1"/>
      <protection locked="0"/>
    </xf>
    <xf numFmtId="0" fontId="23" fillId="0" borderId="32" xfId="7" applyBorder="1" applyAlignment="1" applyProtection="1">
      <alignment horizontal="left" vertical="center" wrapText="1"/>
      <protection locked="0"/>
    </xf>
    <xf numFmtId="0" fontId="24" fillId="10" borderId="39" xfId="8" applyFont="1" applyFill="1" applyBorder="1" applyAlignment="1">
      <alignment horizontal="left"/>
    </xf>
    <xf numFmtId="0" fontId="24" fillId="10" borderId="40" xfId="8" applyFont="1" applyFill="1" applyBorder="1" applyAlignment="1">
      <alignment horizontal="left"/>
    </xf>
    <xf numFmtId="0" fontId="2" fillId="0" borderId="50" xfId="2" applyBorder="1" applyAlignment="1">
      <alignment horizontal="center" vertical="center"/>
    </xf>
    <xf numFmtId="0" fontId="2" fillId="0" borderId="11" xfId="2" applyBorder="1" applyAlignment="1">
      <alignment horizontal="center" vertical="center"/>
    </xf>
    <xf numFmtId="0" fontId="2" fillId="0" borderId="20" xfId="2" applyBorder="1" applyAlignment="1">
      <alignment horizontal="center" vertical="center"/>
    </xf>
    <xf numFmtId="0" fontId="2" fillId="0" borderId="3" xfId="2" applyBorder="1" applyAlignment="1">
      <alignment horizontal="center" vertical="center"/>
    </xf>
    <xf numFmtId="0" fontId="2" fillId="0" borderId="8" xfId="2" applyBorder="1" applyAlignment="1">
      <alignment horizontal="center" vertical="center"/>
    </xf>
    <xf numFmtId="0" fontId="2" fillId="0" borderId="33" xfId="2" applyBorder="1" applyAlignment="1">
      <alignment horizontal="center" vertical="center"/>
    </xf>
    <xf numFmtId="166" fontId="2" fillId="0" borderId="1" xfId="2" applyNumberFormat="1" applyBorder="1" applyAlignment="1">
      <alignment horizontal="center" vertical="center"/>
    </xf>
    <xf numFmtId="0" fontId="2" fillId="0" borderId="1" xfId="2" applyBorder="1" applyAlignment="1">
      <alignment horizontal="center" vertical="center"/>
    </xf>
    <xf numFmtId="0" fontId="2" fillId="0" borderId="12" xfId="2" applyBorder="1" applyAlignment="1">
      <alignment horizontal="center" vertical="center"/>
    </xf>
    <xf numFmtId="0" fontId="2" fillId="0" borderId="52" xfId="2" applyBorder="1" applyAlignment="1">
      <alignment horizontal="center" vertical="center"/>
    </xf>
    <xf numFmtId="0" fontId="2" fillId="0" borderId="51" xfId="2" applyBorder="1" applyAlignment="1">
      <alignment horizontal="center" vertical="center"/>
    </xf>
    <xf numFmtId="166" fontId="2" fillId="0" borderId="3" xfId="1" applyNumberFormat="1" applyFont="1" applyBorder="1" applyAlignment="1">
      <alignment horizontal="center" vertical="center"/>
    </xf>
    <xf numFmtId="166" fontId="2" fillId="0" borderId="8" xfId="1" applyNumberFormat="1" applyFont="1" applyBorder="1" applyAlignment="1">
      <alignment horizontal="center" vertical="center"/>
    </xf>
    <xf numFmtId="166" fontId="2" fillId="0" borderId="52" xfId="1" applyNumberFormat="1" applyFont="1" applyBorder="1" applyAlignment="1">
      <alignment horizontal="center" vertical="center"/>
    </xf>
    <xf numFmtId="166" fontId="14" fillId="4" borderId="5" xfId="1" applyNumberFormat="1" applyFont="1" applyFill="1" applyBorder="1" applyAlignment="1">
      <alignment horizontal="center" vertical="center"/>
    </xf>
    <xf numFmtId="166" fontId="14" fillId="4" borderId="7" xfId="1" applyNumberFormat="1" applyFont="1" applyFill="1" applyBorder="1" applyAlignment="1">
      <alignment horizontal="center" vertical="center"/>
    </xf>
    <xf numFmtId="0" fontId="2" fillId="0" borderId="25" xfId="2" applyBorder="1" applyAlignment="1">
      <alignment horizontal="center" vertical="center"/>
    </xf>
    <xf numFmtId="0" fontId="2" fillId="0" borderId="26" xfId="2" applyBorder="1" applyAlignment="1">
      <alignment horizontal="center" vertical="center"/>
    </xf>
    <xf numFmtId="0" fontId="2" fillId="0" borderId="37" xfId="2" applyBorder="1" applyAlignment="1">
      <alignment horizontal="center" vertical="center"/>
    </xf>
    <xf numFmtId="0" fontId="14" fillId="4" borderId="41" xfId="2" applyFont="1" applyFill="1" applyBorder="1" applyAlignment="1">
      <alignment horizontal="center" vertical="center"/>
    </xf>
    <xf numFmtId="0" fontId="14" fillId="4" borderId="38" xfId="2" applyFont="1" applyFill="1" applyBorder="1" applyAlignment="1">
      <alignment horizontal="center" vertical="center"/>
    </xf>
    <xf numFmtId="0" fontId="2" fillId="0" borderId="4" xfId="2" applyBorder="1" applyAlignment="1">
      <alignment horizontal="center" vertical="center"/>
    </xf>
    <xf numFmtId="0" fontId="14" fillId="4" borderId="5"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28" xfId="2" applyFont="1" applyFill="1" applyBorder="1" applyAlignment="1">
      <alignment horizontal="center" vertical="center"/>
    </xf>
    <xf numFmtId="0" fontId="2" fillId="0" borderId="6" xfId="2" applyBorder="1" applyAlignment="1">
      <alignment horizontal="center" vertical="center"/>
    </xf>
    <xf numFmtId="0" fontId="23" fillId="0" borderId="0" xfId="7" applyAlignment="1" applyProtection="1">
      <alignment horizontal="left"/>
      <protection locked="0"/>
    </xf>
    <xf numFmtId="0" fontId="21" fillId="0" borderId="62" xfId="5" applyFont="1" applyBorder="1" applyAlignment="1">
      <alignment horizontal="left" vertical="center"/>
    </xf>
    <xf numFmtId="0" fontId="21" fillId="0" borderId="95" xfId="5" applyFont="1" applyBorder="1" applyAlignment="1">
      <alignment horizontal="left" vertical="center"/>
    </xf>
    <xf numFmtId="0" fontId="20" fillId="9" borderId="15" xfId="6" applyBorder="1">
      <alignment horizontal="left" vertical="center"/>
    </xf>
    <xf numFmtId="0" fontId="22" fillId="0" borderId="103" xfId="5" applyFont="1" applyBorder="1" applyAlignment="1">
      <alignment horizontal="left" vertical="center"/>
    </xf>
    <xf numFmtId="0" fontId="22" fillId="0" borderId="104" xfId="5" applyFont="1" applyBorder="1" applyAlignment="1">
      <alignment horizontal="left" vertical="center"/>
    </xf>
    <xf numFmtId="0" fontId="22" fillId="0" borderId="109" xfId="5" applyFont="1" applyBorder="1" applyAlignment="1">
      <alignment horizontal="left" vertical="center"/>
    </xf>
    <xf numFmtId="0" fontId="21" fillId="0" borderId="105" xfId="5" applyFont="1" applyBorder="1" applyAlignment="1">
      <alignment horizontal="left" vertical="center"/>
    </xf>
    <xf numFmtId="0" fontId="21" fillId="0" borderId="106" xfId="5" applyFont="1" applyBorder="1" applyAlignment="1">
      <alignment horizontal="left" vertical="center"/>
    </xf>
    <xf numFmtId="0" fontId="21" fillId="0" borderId="110"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106" xfId="5" applyNumberFormat="1" applyFont="1" applyBorder="1" applyAlignment="1">
      <alignment horizontal="left" vertical="center"/>
    </xf>
    <xf numFmtId="14" fontId="21" fillId="0" borderId="110" xfId="5" applyNumberFormat="1" applyFont="1" applyBorder="1" applyAlignment="1">
      <alignment horizontal="left" vertical="center"/>
    </xf>
    <xf numFmtId="14" fontId="21" fillId="0" borderId="107" xfId="5" applyNumberFormat="1" applyFont="1" applyBorder="1" applyAlignment="1">
      <alignment horizontal="left" vertical="center"/>
    </xf>
    <xf numFmtId="14" fontId="21" fillId="0" borderId="108" xfId="5" applyNumberFormat="1" applyFont="1" applyBorder="1" applyAlignment="1">
      <alignment horizontal="left" vertical="center"/>
    </xf>
    <xf numFmtId="14" fontId="21" fillId="0" borderId="111" xfId="5" applyNumberFormat="1" applyFont="1" applyBorder="1" applyAlignment="1">
      <alignment horizontal="left" vertical="center"/>
    </xf>
    <xf numFmtId="0" fontId="21" fillId="0" borderId="60" xfId="5" applyFont="1" applyBorder="1" applyAlignment="1">
      <alignment horizontal="left" vertical="center"/>
    </xf>
    <xf numFmtId="0" fontId="21" fillId="0" borderId="93" xfId="5" applyFont="1" applyBorder="1" applyAlignment="1">
      <alignment horizontal="left" vertical="center"/>
    </xf>
    <xf numFmtId="0" fontId="21" fillId="0" borderId="101" xfId="5" applyFont="1" applyBorder="1" applyAlignment="1">
      <alignment horizontal="left" vertical="center"/>
    </xf>
    <xf numFmtId="0" fontId="21" fillId="0" borderId="102" xfId="5" applyFont="1" applyBorder="1" applyAlignment="1">
      <alignment horizontal="left" vertical="center"/>
    </xf>
    <xf numFmtId="0" fontId="18" fillId="0" borderId="60" xfId="5" applyBorder="1" applyAlignment="1">
      <alignment horizontal="left" vertical="center"/>
    </xf>
    <xf numFmtId="0" fontId="18" fillId="0" borderId="93" xfId="5" applyBorder="1" applyAlignment="1">
      <alignment horizontal="left"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55" xfId="0" applyFont="1" applyFill="1" applyBorder="1" applyAlignment="1">
      <alignment horizontal="center" vertical="center"/>
    </xf>
    <xf numFmtId="0" fontId="7" fillId="3" borderId="39" xfId="0" applyFont="1" applyFill="1" applyBorder="1" applyAlignment="1">
      <alignment horizontal="center"/>
    </xf>
    <xf numFmtId="0" fontId="7" fillId="3" borderId="40" xfId="0" applyFont="1" applyFill="1" applyBorder="1" applyAlignment="1">
      <alignment horizontal="center"/>
    </xf>
    <xf numFmtId="0" fontId="21" fillId="0" borderId="61" xfId="5" applyFont="1" applyBorder="1" applyAlignment="1">
      <alignment horizontal="left" vertical="center"/>
    </xf>
    <xf numFmtId="14" fontId="21" fillId="0" borderId="95" xfId="5" applyNumberFormat="1" applyFont="1" applyBorder="1" applyAlignment="1">
      <alignment horizontal="left" vertical="center"/>
    </xf>
    <xf numFmtId="14" fontId="21" fillId="0" borderId="63" xfId="5" applyNumberFormat="1" applyFont="1" applyBorder="1" applyAlignment="1">
      <alignment horizontal="left" vertical="center"/>
    </xf>
    <xf numFmtId="0" fontId="21" fillId="0" borderId="58" xfId="5" applyFont="1" applyBorder="1" applyAlignment="1">
      <alignment horizontal="left" vertical="center"/>
    </xf>
    <xf numFmtId="0" fontId="21" fillId="0" borderId="94" xfId="5" applyFont="1" applyBorder="1" applyAlignment="1">
      <alignment horizontal="left" vertical="center"/>
    </xf>
    <xf numFmtId="0" fontId="22" fillId="0" borderId="94" xfId="5" applyFont="1" applyBorder="1" applyAlignment="1">
      <alignment horizontal="left" vertical="center"/>
    </xf>
    <xf numFmtId="0" fontId="22" fillId="0" borderId="59" xfId="5" applyFont="1" applyBorder="1" applyAlignment="1">
      <alignment horizontal="left" vertical="center"/>
    </xf>
    <xf numFmtId="14" fontId="21" fillId="0" borderId="93" xfId="5" applyNumberFormat="1" applyFont="1" applyBorder="1" applyAlignment="1">
      <alignment horizontal="left" vertical="center"/>
    </xf>
    <xf numFmtId="14" fontId="21" fillId="0" borderId="61" xfId="5" applyNumberFormat="1" applyFont="1" applyBorder="1" applyAlignment="1">
      <alignment horizontal="left" vertical="center"/>
    </xf>
    <xf numFmtId="0" fontId="19" fillId="15" borderId="43" xfId="6" applyFont="1" applyFill="1" applyBorder="1" applyAlignment="1" applyProtection="1">
      <alignment horizontal="left" vertical="center" wrapText="1"/>
    </xf>
    <xf numFmtId="0" fontId="19" fillId="15" borderId="45" xfId="6" applyFont="1" applyFill="1" applyBorder="1" applyAlignment="1" applyProtection="1">
      <alignment horizontal="left" vertical="center" wrapText="1"/>
    </xf>
    <xf numFmtId="0" fontId="19" fillId="15" borderId="44" xfId="6" applyFont="1" applyFill="1" applyBorder="1" applyAlignment="1" applyProtection="1">
      <alignment horizontal="left" vertical="center" wrapText="1"/>
    </xf>
    <xf numFmtId="0" fontId="19" fillId="15" borderId="26" xfId="6" applyFont="1" applyFill="1" applyBorder="1" applyAlignment="1" applyProtection="1">
      <alignment horizontal="left" vertical="center" wrapText="1"/>
    </xf>
    <xf numFmtId="0" fontId="19" fillId="15" borderId="33" xfId="6" applyFont="1" applyFill="1" applyBorder="1" applyAlignment="1" applyProtection="1">
      <alignment horizontal="left" vertical="center" wrapText="1"/>
    </xf>
    <xf numFmtId="0" fontId="19" fillId="15" borderId="42" xfId="6" applyFont="1" applyFill="1" applyBorder="1" applyAlignment="1" applyProtection="1">
      <alignment horizontal="left" vertical="center" wrapText="1"/>
    </xf>
    <xf numFmtId="0" fontId="19" fillId="15" borderId="6" xfId="6" applyFont="1" applyFill="1" applyBorder="1" applyAlignment="1" applyProtection="1">
      <alignment horizontal="left" vertical="center" wrapText="1"/>
    </xf>
    <xf numFmtId="0" fontId="19" fillId="15" borderId="51" xfId="6" applyFont="1" applyFill="1" applyBorder="1" applyAlignment="1" applyProtection="1">
      <alignment horizontal="left" vertical="center" wrapText="1"/>
    </xf>
    <xf numFmtId="0" fontId="19" fillId="15" borderId="7" xfId="6" applyFont="1" applyFill="1" applyBorder="1" applyAlignment="1" applyProtection="1">
      <alignment horizontal="left" vertical="center" wrapText="1"/>
    </xf>
    <xf numFmtId="0" fontId="24" fillId="0" borderId="17" xfId="5" applyFont="1" applyBorder="1" applyAlignment="1">
      <alignment horizontal="center" vertical="center"/>
    </xf>
    <xf numFmtId="0" fontId="24" fillId="0" borderId="86" xfId="5" applyFont="1" applyBorder="1" applyAlignment="1">
      <alignment horizontal="center" vertical="center"/>
    </xf>
    <xf numFmtId="0" fontId="18" fillId="0" borderId="87" xfId="5" applyBorder="1" applyAlignment="1">
      <alignment horizontal="left"/>
    </xf>
    <xf numFmtId="0" fontId="18" fillId="0" borderId="88" xfId="5" applyBorder="1" applyAlignment="1">
      <alignment horizontal="left"/>
    </xf>
    <xf numFmtId="166" fontId="11" fillId="4" borderId="48" xfId="0" applyNumberFormat="1" applyFont="1" applyFill="1" applyBorder="1" applyAlignment="1">
      <alignment horizontal="center" vertical="center"/>
    </xf>
    <xf numFmtId="166" fontId="11" fillId="4" borderId="41" xfId="0" applyNumberFormat="1" applyFont="1" applyFill="1" applyBorder="1" applyAlignment="1">
      <alignment horizontal="center" vertical="center"/>
    </xf>
    <xf numFmtId="166" fontId="11" fillId="4" borderId="38" xfId="0" applyNumberFormat="1"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0"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Testfabrics  Lot 3345</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0.5987391399833194</c:v>
                </c:pt>
                <c:pt idx="1">
                  <c:v>0.44611690243036217</c:v>
                </c:pt>
                <c:pt idx="2">
                  <c:v>0.34354849381540559</c:v>
                </c:pt>
                <c:pt idx="3">
                  <c:v>0.29960838029365328</c:v>
                </c:pt>
                <c:pt idx="4">
                  <c:v>0.26918776456457916</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Testfabrics  Lot 3345</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0.65322752604768031</c:v>
                </c:pt>
                <c:pt idx="1">
                  <c:v>0.61417028949059238</c:v>
                </c:pt>
                <c:pt idx="2">
                  <c:v>0.57509713224943926</c:v>
                </c:pt>
                <c:pt idx="3">
                  <c:v>0.55246161214556533</c:v>
                </c:pt>
                <c:pt idx="4">
                  <c:v>0.49389923118630014</c:v>
                </c:pt>
                <c:pt idx="5">
                  <c:v>0.45816477832505359</c:v>
                </c:pt>
                <c:pt idx="6">
                  <c:v>0.43123854132497247</c:v>
                </c:pt>
                <c:pt idx="7">
                  <c:v>0.40116505888512255</c:v>
                </c:pt>
                <c:pt idx="8">
                  <c:v>0.38959259685169045</c:v>
                </c:pt>
                <c:pt idx="9">
                  <c:v>0.35537797658280623</c:v>
                </c:pt>
                <c:pt idx="10">
                  <c:v>0.32459270917454902</c:v>
                </c:pt>
                <c:pt idx="11">
                  <c:v>0.30463069265257653</c:v>
                </c:pt>
                <c:pt idx="12">
                  <c:v>0.34125782735751686</c:v>
                </c:pt>
                <c:pt idx="13">
                  <c:v>0.31068925603859548</c:v>
                </c:pt>
                <c:pt idx="14">
                  <c:v>0.2867780628584522</c:v>
                </c:pt>
                <c:pt idx="15">
                  <c:v>0.25970837492004861</c:v>
                </c:pt>
                <c:pt idx="16">
                  <c:v>0.30482343559217157</c:v>
                </c:pt>
                <c:pt idx="17">
                  <c:v>0.27886337149891438</c:v>
                </c:pt>
                <c:pt idx="18">
                  <c:v>0.2560636885629029</c:v>
                </c:pt>
                <c:pt idx="19">
                  <c:v>0.23700056260432792</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1IXnlujYv+Sin22M/yaoDNgf4r0DO18lAOcU6HpXAK3ItY+M5LP5hoOfWVWtfJKlCFxS1dMzHHdSnRFdpPOAeA==" saltValue="3+0H1sPFYdA133rZ+9+Dn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N7stHAoadKV4Ny5C0QsAmEpW4SbasaNwKi3h0O+G2x26etCRo11eGBLhDgnZfw02zoUfG4rkjQBxyjHi/nA5Kg==" saltValue="8v+1SyaxiOWIsyyL7y7tIA=="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zoomScale="85" zoomScaleNormal="85" workbookViewId="0">
      <selection activeCell="B11" sqref="B11:C11"/>
    </sheetView>
  </sheetViews>
  <sheetFormatPr defaultColWidth="9.140625" defaultRowHeight="16.5" x14ac:dyDescent="0.3"/>
  <cols>
    <col min="1" max="1" width="4.85546875" style="95" customWidth="1"/>
    <col min="2" max="2" width="28.85546875" style="95" customWidth="1"/>
    <col min="3" max="3" width="159.28515625" style="95" customWidth="1"/>
    <col min="4" max="4" width="4.42578125" style="95" customWidth="1"/>
    <col min="5" max="5" width="4.140625" style="95" customWidth="1"/>
    <col min="6" max="6" width="25.7109375" style="95" customWidth="1"/>
    <col min="7" max="16384" width="9.140625" style="95"/>
  </cols>
  <sheetData>
    <row r="1" spans="2:6" ht="17.25" thickBot="1" x14ac:dyDescent="0.35">
      <c r="E1" s="96"/>
    </row>
    <row r="2" spans="2:6" ht="18" thickBot="1" x14ac:dyDescent="0.35">
      <c r="B2" s="317" t="str">
        <f>'Version Control'!B2:C2</f>
        <v>Title Block</v>
      </c>
      <c r="C2" s="318"/>
      <c r="E2" s="96"/>
    </row>
    <row r="3" spans="2:6" s="99" customFormat="1" x14ac:dyDescent="0.3">
      <c r="B3" s="97" t="str">
        <f>'Version Control'!B3</f>
        <v>Test Report Template Name:</v>
      </c>
      <c r="C3" s="98" t="str">
        <f>'Version Control'!$C$3</f>
        <v xml:space="preserve">Test Cloth Correction Factors </v>
      </c>
      <c r="E3" s="100"/>
    </row>
    <row r="4" spans="2:6" s="99" customFormat="1" x14ac:dyDescent="0.3">
      <c r="B4" s="101" t="str">
        <f>'Version Control'!B4</f>
        <v>Version Number:</v>
      </c>
      <c r="C4" s="102" t="str">
        <f>'Version Control'!$C$4</f>
        <v>v2.3</v>
      </c>
      <c r="E4" s="100"/>
    </row>
    <row r="5" spans="2:6" s="99" customFormat="1" x14ac:dyDescent="0.3">
      <c r="B5" s="103" t="str">
        <f>'Version Control'!B5</f>
        <v xml:space="preserve">Latest Template Revision: </v>
      </c>
      <c r="C5" s="104">
        <f>'Version Control'!C5</f>
        <v>44755</v>
      </c>
      <c r="E5" s="100"/>
    </row>
    <row r="6" spans="2:6" s="99" customFormat="1" x14ac:dyDescent="0.3">
      <c r="B6" s="175" t="str">
        <f>'Version Control'!B6</f>
        <v>Tab Name:</v>
      </c>
      <c r="C6" s="176" t="str">
        <f ca="1">MID(CELL("filename",A1), FIND("]", CELL("filename", A1))+ 1, 255)</f>
        <v>Instructions</v>
      </c>
      <c r="E6" s="100"/>
    </row>
    <row r="7" spans="2:6" ht="17.25" thickBot="1" x14ac:dyDescent="0.35">
      <c r="B7" s="105" t="str">
        <f>'Version Control'!B7</f>
        <v>File Name:</v>
      </c>
      <c r="C7" s="106" t="str">
        <f ca="1">'Version Control'!$C$7</f>
        <v>Lot AATCC 3345_correction_factor.xlsx</v>
      </c>
      <c r="E7" s="107"/>
      <c r="F7" s="99"/>
    </row>
    <row r="8" spans="2:6" x14ac:dyDescent="0.3">
      <c r="E8" s="107"/>
      <c r="F8" s="99"/>
    </row>
    <row r="9" spans="2:6" ht="17.25" thickBot="1" x14ac:dyDescent="0.35">
      <c r="E9" s="107"/>
      <c r="F9" s="99"/>
    </row>
    <row r="10" spans="2:6" ht="18" thickBot="1" x14ac:dyDescent="0.35">
      <c r="B10" s="319" t="s">
        <v>0</v>
      </c>
      <c r="C10" s="320"/>
      <c r="E10" s="107"/>
      <c r="F10" s="99"/>
    </row>
    <row r="11" spans="2:6" ht="24.75" customHeight="1" thickBot="1" x14ac:dyDescent="0.35">
      <c r="B11" s="321" t="s">
        <v>1</v>
      </c>
      <c r="C11" s="322"/>
      <c r="E11" s="107"/>
      <c r="F11" s="99"/>
    </row>
    <row r="12" spans="2:6" ht="17.25" thickBot="1" x14ac:dyDescent="0.35">
      <c r="E12" s="107"/>
      <c r="F12" s="99"/>
    </row>
    <row r="13" spans="2:6" ht="18" thickBot="1" x14ac:dyDescent="0.35">
      <c r="B13" s="319" t="s">
        <v>2</v>
      </c>
      <c r="C13" s="320"/>
      <c r="E13" s="107"/>
      <c r="F13" s="99"/>
    </row>
    <row r="14" spans="2:6" ht="17.25" x14ac:dyDescent="0.3">
      <c r="B14" s="108" t="s">
        <v>3</v>
      </c>
      <c r="C14" s="109" t="s">
        <v>4</v>
      </c>
      <c r="E14" s="107"/>
      <c r="F14" s="99"/>
    </row>
    <row r="15" spans="2:6" x14ac:dyDescent="0.3">
      <c r="B15" s="110" t="s">
        <v>5</v>
      </c>
      <c r="C15" s="111" t="s">
        <v>6</v>
      </c>
      <c r="D15" s="99"/>
      <c r="E15" s="107"/>
      <c r="F15" s="99"/>
    </row>
    <row r="16" spans="2:6" x14ac:dyDescent="0.3">
      <c r="B16" s="112" t="s">
        <v>7</v>
      </c>
      <c r="C16" s="113" t="s">
        <v>8</v>
      </c>
      <c r="D16" s="99"/>
      <c r="E16" s="107"/>
      <c r="F16" s="99"/>
    </row>
    <row r="17" spans="2:6" x14ac:dyDescent="0.3">
      <c r="B17" s="112" t="s">
        <v>9</v>
      </c>
      <c r="C17" s="113" t="s">
        <v>10</v>
      </c>
      <c r="D17" s="99"/>
      <c r="E17" s="107"/>
      <c r="F17" s="99"/>
    </row>
    <row r="18" spans="2:6" x14ac:dyDescent="0.3">
      <c r="B18" s="191" t="s">
        <v>11</v>
      </c>
      <c r="C18" s="192" t="s">
        <v>12</v>
      </c>
      <c r="D18" s="99"/>
      <c r="E18" s="107"/>
      <c r="F18" s="99"/>
    </row>
    <row r="19" spans="2:6" x14ac:dyDescent="0.3">
      <c r="B19" s="114" t="s">
        <v>13</v>
      </c>
      <c r="C19" s="115" t="s">
        <v>14</v>
      </c>
      <c r="D19" s="99"/>
      <c r="E19" s="107"/>
      <c r="F19" s="99"/>
    </row>
    <row r="20" spans="2:6" x14ac:dyDescent="0.3">
      <c r="B20" s="112" t="s">
        <v>15</v>
      </c>
      <c r="C20" s="113" t="s">
        <v>16</v>
      </c>
      <c r="D20" s="99"/>
      <c r="E20" s="107"/>
      <c r="F20" s="99"/>
    </row>
    <row r="21" spans="2:6" x14ac:dyDescent="0.3">
      <c r="B21" s="112" t="s">
        <v>17</v>
      </c>
      <c r="C21" s="115" t="s">
        <v>18</v>
      </c>
      <c r="D21" s="99"/>
      <c r="E21" s="107"/>
      <c r="F21" s="99"/>
    </row>
    <row r="22" spans="2:6" x14ac:dyDescent="0.3">
      <c r="B22" s="112" t="s">
        <v>19</v>
      </c>
      <c r="C22" s="113" t="s">
        <v>20</v>
      </c>
      <c r="D22" s="99"/>
      <c r="E22" s="107"/>
      <c r="F22" s="99"/>
    </row>
    <row r="23" spans="2:6" ht="17.25" thickBot="1" x14ac:dyDescent="0.35">
      <c r="B23" s="116" t="s">
        <v>21</v>
      </c>
      <c r="C23" s="117" t="s">
        <v>22</v>
      </c>
      <c r="E23" s="96"/>
      <c r="F23" s="99"/>
    </row>
    <row r="24" spans="2:6" ht="17.25" thickBot="1" x14ac:dyDescent="0.35">
      <c r="D24" s="99"/>
      <c r="E24" s="100"/>
      <c r="F24" s="99"/>
    </row>
    <row r="25" spans="2:6" ht="18" thickBot="1" x14ac:dyDescent="0.4">
      <c r="B25" s="323" t="s">
        <v>23</v>
      </c>
      <c r="C25" s="324"/>
      <c r="D25" s="99"/>
      <c r="E25" s="100"/>
      <c r="F25" s="99"/>
    </row>
    <row r="26" spans="2:6" ht="16.5" customHeight="1" x14ac:dyDescent="0.3">
      <c r="B26" s="200" t="s">
        <v>24</v>
      </c>
      <c r="C26" s="201" t="s">
        <v>25</v>
      </c>
      <c r="D26" s="99"/>
      <c r="E26" s="100"/>
      <c r="F26" s="99"/>
    </row>
    <row r="27" spans="2:6" ht="16.5" customHeight="1" x14ac:dyDescent="0.3">
      <c r="B27" s="315" t="s">
        <v>26</v>
      </c>
      <c r="C27" s="155" t="s">
        <v>27</v>
      </c>
      <c r="D27" s="99"/>
      <c r="E27" s="100"/>
      <c r="F27" s="99"/>
    </row>
    <row r="28" spans="2:6" ht="16.5" customHeight="1" x14ac:dyDescent="0.3">
      <c r="B28" s="315"/>
      <c r="C28" s="156" t="s">
        <v>28</v>
      </c>
      <c r="D28" s="99"/>
      <c r="E28" s="100"/>
      <c r="F28" s="99"/>
    </row>
    <row r="29" spans="2:6" ht="16.5" customHeight="1" thickBot="1" x14ac:dyDescent="0.35">
      <c r="B29" s="316"/>
      <c r="C29" s="202" t="s">
        <v>29</v>
      </c>
      <c r="D29" s="99"/>
      <c r="E29" s="100"/>
      <c r="F29" s="99"/>
    </row>
    <row r="30" spans="2:6" ht="17.25" thickBot="1" x14ac:dyDescent="0.35">
      <c r="D30" s="99"/>
      <c r="E30" s="100"/>
      <c r="F30" s="99"/>
    </row>
    <row r="31" spans="2:6" ht="18.75" thickBot="1" x14ac:dyDescent="0.35">
      <c r="B31" s="118" t="s">
        <v>30</v>
      </c>
      <c r="C31" s="282"/>
      <c r="D31" s="99"/>
      <c r="E31" s="100"/>
      <c r="F31" s="99"/>
    </row>
    <row r="32" spans="2:6" x14ac:dyDescent="0.3">
      <c r="B32" s="309" t="s">
        <v>31</v>
      </c>
      <c r="C32" s="310"/>
      <c r="D32" s="99"/>
      <c r="E32" s="100"/>
      <c r="F32" s="99"/>
    </row>
    <row r="33" spans="1:6" x14ac:dyDescent="0.3">
      <c r="B33" s="311"/>
      <c r="C33" s="312"/>
      <c r="D33" s="99"/>
      <c r="E33" s="100"/>
      <c r="F33" s="99"/>
    </row>
    <row r="34" spans="1:6" ht="17.25" thickBot="1" x14ac:dyDescent="0.35">
      <c r="B34" s="313"/>
      <c r="C34" s="314"/>
      <c r="D34" s="99"/>
      <c r="E34" s="100"/>
      <c r="F34" s="99"/>
    </row>
    <row r="35" spans="1:6" ht="16.5" customHeight="1" thickBot="1" x14ac:dyDescent="0.35">
      <c r="B35" s="177" t="s">
        <v>32</v>
      </c>
      <c r="C35" s="178"/>
      <c r="D35" s="99"/>
      <c r="E35" s="100"/>
      <c r="F35" s="99"/>
    </row>
    <row r="36" spans="1:6" ht="17.25" x14ac:dyDescent="0.3">
      <c r="B36" s="119"/>
      <c r="C36" s="120"/>
      <c r="D36" s="99"/>
      <c r="E36" s="100"/>
      <c r="F36" s="99"/>
    </row>
    <row r="37" spans="1:6" ht="21" x14ac:dyDescent="0.3">
      <c r="B37" s="121" t="s">
        <v>33</v>
      </c>
      <c r="C37" s="122" t="s">
        <v>34</v>
      </c>
      <c r="D37" s="99"/>
      <c r="E37" s="100"/>
      <c r="F37" s="99"/>
    </row>
    <row r="38" spans="1:6" ht="18" thickBot="1" x14ac:dyDescent="0.35">
      <c r="B38" s="119"/>
      <c r="C38" s="120"/>
      <c r="D38" s="99"/>
      <c r="E38" s="100"/>
      <c r="F38" s="99"/>
    </row>
    <row r="39" spans="1:6" x14ac:dyDescent="0.3">
      <c r="B39" s="123" t="s">
        <v>35</v>
      </c>
      <c r="C39" s="157" t="s">
        <v>7</v>
      </c>
      <c r="D39" s="99"/>
      <c r="E39" s="100"/>
      <c r="F39" s="99"/>
    </row>
    <row r="40" spans="1:6" x14ac:dyDescent="0.3">
      <c r="B40" s="124" t="s">
        <v>36</v>
      </c>
      <c r="C40" s="125" t="s">
        <v>9</v>
      </c>
      <c r="D40" s="99"/>
      <c r="E40" s="100"/>
      <c r="F40" s="99"/>
    </row>
    <row r="41" spans="1:6" ht="17.25" thickBot="1" x14ac:dyDescent="0.35">
      <c r="B41" s="126" t="s">
        <v>37</v>
      </c>
      <c r="C41" s="169" t="s">
        <v>38</v>
      </c>
      <c r="D41" s="99"/>
      <c r="E41" s="100"/>
      <c r="F41" s="99"/>
    </row>
    <row r="42" spans="1:6" x14ac:dyDescent="0.3">
      <c r="D42" s="99"/>
      <c r="E42" s="100"/>
      <c r="F42" s="99"/>
    </row>
    <row r="43" spans="1:6" x14ac:dyDescent="0.3">
      <c r="A43" s="96"/>
      <c r="B43" s="96"/>
      <c r="C43" s="96"/>
      <c r="D43" s="100"/>
      <c r="E43" s="100"/>
      <c r="F43" s="99"/>
    </row>
  </sheetData>
  <sheetProtection algorithmName="SHA-512" hashValue="LyUmavheUrxuiww6pSUCqcOjU4a74Az94U5QhE/Y/a+oEW5ZQ412vMtMH4HyG5tiXbE45hWWMBSmE6uFxrfwIw==" saltValue="tr0rQXSqdKiVvt/MabZmRA=="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scale="69"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L46"/>
  <sheetViews>
    <sheetView showGridLines="0" zoomScale="80" zoomScaleNormal="80" zoomScalePageLayoutView="90" workbookViewId="0">
      <selection activeCell="L20" sqref="L20"/>
    </sheetView>
  </sheetViews>
  <sheetFormatPr defaultColWidth="9.140625" defaultRowHeight="12.75" x14ac:dyDescent="0.2"/>
  <cols>
    <col min="1" max="1" width="1.85546875" style="9" customWidth="1"/>
    <col min="2" max="2" width="19.7109375" style="9" customWidth="1"/>
    <col min="3" max="3" width="27.85546875" style="9" customWidth="1"/>
    <col min="4" max="4" width="2.42578125" style="9" customWidth="1"/>
    <col min="5" max="5" width="13" style="9" customWidth="1"/>
    <col min="6" max="6" width="13.140625" style="9" customWidth="1"/>
    <col min="7" max="8" width="13.42578125" style="9" customWidth="1"/>
    <col min="9" max="9" width="2.140625" style="9" customWidth="1"/>
    <col min="10" max="10" width="13.42578125" style="9" customWidth="1"/>
    <col min="11" max="11" width="32.5703125" style="9" bestFit="1" customWidth="1"/>
    <col min="12" max="12" width="19.28515625" style="9" customWidth="1"/>
    <col min="13" max="14" width="13.42578125" style="9" customWidth="1"/>
    <col min="15" max="15" width="2.140625" style="9" customWidth="1"/>
    <col min="16" max="16" width="8.140625" style="9" bestFit="1" customWidth="1"/>
    <col min="17" max="17" width="22.28515625" style="9" customWidth="1"/>
    <col min="18" max="18" width="15.7109375" style="9" customWidth="1"/>
    <col min="19" max="19" width="12.7109375" style="9" bestFit="1" customWidth="1"/>
    <col min="20" max="20" width="12.7109375" style="9" customWidth="1"/>
    <col min="21" max="21" width="2.28515625" style="9" customWidth="1"/>
    <col min="22" max="22" width="9.7109375" style="9" customWidth="1"/>
    <col min="23" max="23" width="23.5703125" style="9" customWidth="1"/>
    <col min="24" max="24" width="19.5703125" style="9" customWidth="1"/>
    <col min="25" max="25" width="12.7109375" style="9" bestFit="1" customWidth="1"/>
    <col min="26" max="26" width="12.7109375" style="9" customWidth="1"/>
    <col min="27" max="27" width="2.28515625" style="9" customWidth="1"/>
    <col min="28" max="28" width="12.85546875" style="9" customWidth="1"/>
    <col min="29" max="29" width="16.5703125" style="9" customWidth="1"/>
    <col min="30" max="30" width="12.7109375" style="9" customWidth="1"/>
    <col min="31" max="31" width="13.42578125" style="9" customWidth="1"/>
    <col min="32" max="32" width="12.42578125" style="9" customWidth="1"/>
    <col min="33" max="33" width="11.28515625" style="9" customWidth="1"/>
    <col min="34" max="35" width="12" style="9" customWidth="1"/>
    <col min="36" max="36" width="13.85546875" style="9" customWidth="1"/>
    <col min="37" max="37" width="3" style="9" customWidth="1"/>
    <col min="38" max="38" width="2.7109375" style="9" customWidth="1"/>
    <col min="39" max="16384" width="9.140625" style="9"/>
  </cols>
  <sheetData>
    <row r="1" spans="2:38" ht="13.5" thickBot="1" x14ac:dyDescent="0.25">
      <c r="AL1" s="171"/>
    </row>
    <row r="2" spans="2:38" ht="18" thickBot="1" x14ac:dyDescent="0.25">
      <c r="B2" s="317" t="str">
        <f>'Version Control'!B2:C2</f>
        <v>Title Block</v>
      </c>
      <c r="C2" s="354"/>
      <c r="D2" s="354"/>
      <c r="E2" s="354"/>
      <c r="F2" s="354"/>
      <c r="G2" s="354"/>
      <c r="H2" s="354"/>
      <c r="I2" s="354"/>
      <c r="J2" s="318"/>
      <c r="K2" s="187"/>
      <c r="AL2" s="171"/>
    </row>
    <row r="3" spans="2:38" ht="16.5" x14ac:dyDescent="0.2">
      <c r="B3" s="369" t="str">
        <f>'Version Control'!B3</f>
        <v>Test Report Template Name:</v>
      </c>
      <c r="C3" s="370"/>
      <c r="D3" s="355" t="str">
        <f>'Version Control'!C3</f>
        <v xml:space="preserve">Test Cloth Correction Factors </v>
      </c>
      <c r="E3" s="356"/>
      <c r="F3" s="356"/>
      <c r="G3" s="356"/>
      <c r="H3" s="356"/>
      <c r="I3" s="356"/>
      <c r="J3" s="357"/>
      <c r="K3" s="188"/>
      <c r="AL3" s="171"/>
    </row>
    <row r="4" spans="2:38" ht="16.5" x14ac:dyDescent="0.3">
      <c r="B4" s="371" t="str">
        <f>'Version Control'!B4</f>
        <v>Version Number:</v>
      </c>
      <c r="C4" s="372"/>
      <c r="D4" s="358" t="str">
        <f>'Version Control'!C4</f>
        <v>v2.3</v>
      </c>
      <c r="E4" s="359"/>
      <c r="F4" s="359"/>
      <c r="G4" s="359"/>
      <c r="H4" s="359"/>
      <c r="I4" s="359"/>
      <c r="J4" s="360"/>
      <c r="K4" s="189"/>
      <c r="L4" s="351" t="s">
        <v>39</v>
      </c>
      <c r="M4" s="351"/>
      <c r="AL4" s="171"/>
    </row>
    <row r="5" spans="2:38" ht="16.5" x14ac:dyDescent="0.2">
      <c r="B5" s="367" t="str">
        <f>'Version Control'!B5</f>
        <v xml:space="preserve">Latest Template Revision: </v>
      </c>
      <c r="C5" s="368"/>
      <c r="D5" s="361">
        <f>'Version Control'!C5</f>
        <v>44755</v>
      </c>
      <c r="E5" s="362"/>
      <c r="F5" s="362"/>
      <c r="G5" s="362"/>
      <c r="H5" s="362"/>
      <c r="I5" s="362"/>
      <c r="J5" s="363"/>
      <c r="K5" s="190"/>
      <c r="AL5" s="171"/>
    </row>
    <row r="6" spans="2:38" ht="16.5" x14ac:dyDescent="0.2">
      <c r="B6" s="367" t="str">
        <f>'Version Control'!B6</f>
        <v>Tab Name:</v>
      </c>
      <c r="C6" s="368"/>
      <c r="D6" s="358" t="str">
        <f ca="1">MID(CELL("filename",A1), FIND("]", CELL("filename", A1))+ 1, 255)</f>
        <v>Material Verification</v>
      </c>
      <c r="E6" s="359"/>
      <c r="F6" s="359"/>
      <c r="G6" s="359"/>
      <c r="H6" s="359"/>
      <c r="I6" s="359"/>
      <c r="J6" s="360"/>
      <c r="K6" s="189"/>
      <c r="AL6" s="171"/>
    </row>
    <row r="7" spans="2:38" ht="16.5" x14ac:dyDescent="0.2">
      <c r="B7" s="367" t="str">
        <f>'Version Control'!B7</f>
        <v>File Name:</v>
      </c>
      <c r="C7" s="368"/>
      <c r="D7" s="358" t="str">
        <f ca="1">'Version Control'!C7</f>
        <v>Lot AATCC 3345_correction_factor.xlsx</v>
      </c>
      <c r="E7" s="359"/>
      <c r="F7" s="359"/>
      <c r="G7" s="359"/>
      <c r="H7" s="359"/>
      <c r="I7" s="359"/>
      <c r="J7" s="360"/>
      <c r="K7" s="189"/>
      <c r="AL7" s="171"/>
    </row>
    <row r="8" spans="2:38" ht="17.25" thickBot="1" x14ac:dyDescent="0.25">
      <c r="B8" s="352" t="str">
        <f>'Version Control'!B8</f>
        <v xml:space="preserve">Test Completion Date: </v>
      </c>
      <c r="C8" s="353"/>
      <c r="D8" s="364" t="str">
        <f>'Version Control'!C8</f>
        <v>10/16/2023-10/27/2023</v>
      </c>
      <c r="E8" s="365"/>
      <c r="F8" s="365"/>
      <c r="G8" s="365"/>
      <c r="H8" s="365"/>
      <c r="I8" s="365"/>
      <c r="J8" s="366"/>
      <c r="K8" s="190"/>
      <c r="AL8" s="171"/>
    </row>
    <row r="9" spans="2:38" x14ac:dyDescent="0.2">
      <c r="AL9" s="171"/>
    </row>
    <row r="10" spans="2:38" x14ac:dyDescent="0.2">
      <c r="AL10" s="171"/>
    </row>
    <row r="11" spans="2:38" ht="15.75" x14ac:dyDescent="0.25">
      <c r="B11" s="8" t="s">
        <v>40</v>
      </c>
      <c r="AL11" s="171"/>
    </row>
    <row r="12" spans="2:38" ht="13.5" customHeight="1" thickBot="1" x14ac:dyDescent="0.25">
      <c r="AL12" s="171"/>
    </row>
    <row r="13" spans="2:38" ht="18.75" customHeight="1" x14ac:dyDescent="0.25">
      <c r="B13" s="10" t="s">
        <v>41</v>
      </c>
      <c r="C13" s="203" t="s">
        <v>42</v>
      </c>
      <c r="E13" s="11" t="s">
        <v>43</v>
      </c>
      <c r="F13" s="12"/>
      <c r="G13" s="13"/>
      <c r="H13" s="14"/>
      <c r="J13" s="11" t="s">
        <v>44</v>
      </c>
      <c r="K13" s="12"/>
      <c r="L13" s="15"/>
      <c r="M13" s="13"/>
      <c r="N13" s="14"/>
      <c r="P13" s="11" t="s">
        <v>45</v>
      </c>
      <c r="Q13" s="12"/>
      <c r="R13" s="15"/>
      <c r="S13" s="13"/>
      <c r="T13" s="14"/>
      <c r="V13" s="11" t="s">
        <v>46</v>
      </c>
      <c r="W13" s="12"/>
      <c r="X13" s="15"/>
      <c r="Y13" s="13"/>
      <c r="Z13" s="14"/>
      <c r="AB13" s="11" t="s">
        <v>47</v>
      </c>
      <c r="AC13" s="12"/>
      <c r="AD13" s="15"/>
      <c r="AE13" s="15"/>
      <c r="AF13" s="15"/>
      <c r="AG13" s="15"/>
      <c r="AH13" s="16"/>
      <c r="AI13" s="17"/>
      <c r="AJ13" s="14"/>
      <c r="AL13" s="171"/>
    </row>
    <row r="14" spans="2:38" ht="51.75" thickBot="1" x14ac:dyDescent="0.25">
      <c r="B14" s="18" t="s">
        <v>48</v>
      </c>
      <c r="C14" s="19" t="str">
        <f>IF((AND(H15="Yes",N15="Yes", T15="Yes", Z15="Yes", AJ15="Yes")),"Yes","")</f>
        <v/>
      </c>
      <c r="E14" s="20" t="s">
        <v>49</v>
      </c>
      <c r="F14" s="21" t="s">
        <v>50</v>
      </c>
      <c r="G14" s="22" t="s">
        <v>51</v>
      </c>
      <c r="H14" s="23" t="s">
        <v>52</v>
      </c>
      <c r="J14" s="278" t="s">
        <v>53</v>
      </c>
      <c r="K14" s="21" t="s">
        <v>54</v>
      </c>
      <c r="L14" s="24" t="s">
        <v>55</v>
      </c>
      <c r="M14" s="22" t="s">
        <v>56</v>
      </c>
      <c r="N14" s="23" t="s">
        <v>52</v>
      </c>
      <c r="P14" s="278" t="s">
        <v>53</v>
      </c>
      <c r="Q14" s="22" t="s">
        <v>57</v>
      </c>
      <c r="R14" s="25" t="s">
        <v>58</v>
      </c>
      <c r="S14" s="22" t="s">
        <v>56</v>
      </c>
      <c r="T14" s="23" t="s">
        <v>52</v>
      </c>
      <c r="V14" s="278" t="s">
        <v>53</v>
      </c>
      <c r="W14" s="22" t="s">
        <v>59</v>
      </c>
      <c r="X14" s="25" t="s">
        <v>60</v>
      </c>
      <c r="Y14" s="22" t="s">
        <v>56</v>
      </c>
      <c r="Z14" s="23" t="s">
        <v>52</v>
      </c>
      <c r="AB14" s="20" t="s">
        <v>49</v>
      </c>
      <c r="AC14" s="21" t="s">
        <v>50</v>
      </c>
      <c r="AD14" s="24" t="s">
        <v>61</v>
      </c>
      <c r="AE14" s="25" t="s">
        <v>62</v>
      </c>
      <c r="AF14" s="25" t="s">
        <v>63</v>
      </c>
      <c r="AG14" s="25" t="s">
        <v>64</v>
      </c>
      <c r="AH14" s="22" t="s">
        <v>65</v>
      </c>
      <c r="AI14" s="22" t="s">
        <v>66</v>
      </c>
      <c r="AJ14" s="23" t="s">
        <v>52</v>
      </c>
      <c r="AL14" s="171"/>
    </row>
    <row r="15" spans="2:38" ht="13.5" customHeight="1" thickBot="1" x14ac:dyDescent="0.25">
      <c r="E15" s="346" t="s">
        <v>67</v>
      </c>
      <c r="F15" s="26" t="s">
        <v>68</v>
      </c>
      <c r="G15" s="207" t="s">
        <v>69</v>
      </c>
      <c r="H15" s="347" t="str">
        <f>IF(COUNTIF(G15:G23,"X")=9,"Yes","")</f>
        <v>Yes</v>
      </c>
      <c r="J15" s="341" t="s">
        <v>67</v>
      </c>
      <c r="K15" s="27" t="s">
        <v>70</v>
      </c>
      <c r="L15" s="209"/>
      <c r="M15" s="207"/>
      <c r="N15" s="349" t="str">
        <f>IF(COUNTIF(M15:M20,"X")=6,"Yes","")</f>
        <v/>
      </c>
      <c r="P15" s="28" t="s">
        <v>67</v>
      </c>
      <c r="Q15" s="27" t="s">
        <v>71</v>
      </c>
      <c r="R15" s="211"/>
      <c r="S15" s="207"/>
      <c r="T15" s="349" t="str">
        <f>IF(COUNTIF(S15:S17,"X")=3,"Yes","")</f>
        <v/>
      </c>
      <c r="V15" s="28" t="s">
        <v>67</v>
      </c>
      <c r="W15" s="27" t="s">
        <v>72</v>
      </c>
      <c r="X15" s="211"/>
      <c r="Y15" s="207"/>
      <c r="Z15" s="344" t="str">
        <f>IF(COUNTIF(Y15:Y17,"X")=3,"Yes","")</f>
        <v/>
      </c>
      <c r="AB15" s="325" t="s">
        <v>67</v>
      </c>
      <c r="AC15" s="328" t="s">
        <v>68</v>
      </c>
      <c r="AD15" s="29">
        <v>1</v>
      </c>
      <c r="AE15" s="211">
        <v>8.391</v>
      </c>
      <c r="AF15" s="211">
        <v>11.12</v>
      </c>
      <c r="AG15" s="30">
        <f>IF(AF15="","",((AF15-AE15)/AE15))</f>
        <v>0.325229412465737</v>
      </c>
      <c r="AH15" s="331">
        <f>IF(AF15="","",IF(AF16="","",IF(AF17="","",(AVERAGE(AG15:AG17)))))</f>
        <v>0.32419655980614148</v>
      </c>
      <c r="AI15" s="336">
        <f>IF(OR(AH15="",AH18="",AH21="",AH24="",AH27="",AH30="",AH33="",AH36="",AH39=""),"",(_xlfn.STDEV.S(AH15:AH41)/AVERAGE(AH15:AH41)))</f>
        <v>1.0317578614217716E-2</v>
      </c>
      <c r="AJ15" s="339" t="str">
        <f>IF(AI15="","",IF(AI15&lt;0.01,"Yes","No"))</f>
        <v>No</v>
      </c>
      <c r="AL15" s="171"/>
    </row>
    <row r="16" spans="2:38" ht="13.5" customHeight="1" x14ac:dyDescent="0.2">
      <c r="B16" s="31" t="s">
        <v>73</v>
      </c>
      <c r="C16" s="32"/>
      <c r="E16" s="346"/>
      <c r="F16" s="26" t="s">
        <v>74</v>
      </c>
      <c r="G16" s="207" t="s">
        <v>69</v>
      </c>
      <c r="H16" s="347"/>
      <c r="J16" s="342"/>
      <c r="K16" s="27" t="s">
        <v>75</v>
      </c>
      <c r="L16" s="209"/>
      <c r="M16" s="207"/>
      <c r="N16" s="344"/>
      <c r="P16" s="28" t="s">
        <v>74</v>
      </c>
      <c r="Q16" s="27" t="s">
        <v>71</v>
      </c>
      <c r="R16" s="211"/>
      <c r="S16" s="207"/>
      <c r="T16" s="344"/>
      <c r="V16" s="28" t="s">
        <v>74</v>
      </c>
      <c r="W16" s="27" t="s">
        <v>72</v>
      </c>
      <c r="X16" s="211"/>
      <c r="Y16" s="207"/>
      <c r="Z16" s="344"/>
      <c r="AB16" s="326"/>
      <c r="AC16" s="329"/>
      <c r="AD16" s="29">
        <v>2</v>
      </c>
      <c r="AE16" s="211">
        <v>8.391</v>
      </c>
      <c r="AF16" s="211">
        <v>11.108000000000001</v>
      </c>
      <c r="AG16" s="30">
        <f t="shared" ref="AG16:AG41" si="0">IF(AF16="","",((AF16-AE16)/AE16))</f>
        <v>0.32379930878322016</v>
      </c>
      <c r="AH16" s="332"/>
      <c r="AI16" s="337"/>
      <c r="AJ16" s="339"/>
      <c r="AL16" s="171"/>
    </row>
    <row r="17" spans="2:38" ht="13.5" customHeight="1" thickBot="1" x14ac:dyDescent="0.25">
      <c r="B17" s="33" t="s">
        <v>76</v>
      </c>
      <c r="C17" s="204" t="s">
        <v>77</v>
      </c>
      <c r="E17" s="346"/>
      <c r="F17" s="26" t="s">
        <v>78</v>
      </c>
      <c r="G17" s="207" t="s">
        <v>69</v>
      </c>
      <c r="H17" s="347"/>
      <c r="J17" s="341" t="s">
        <v>74</v>
      </c>
      <c r="K17" s="27" t="s">
        <v>70</v>
      </c>
      <c r="L17" s="209"/>
      <c r="M17" s="207"/>
      <c r="N17" s="344"/>
      <c r="P17" s="34" t="s">
        <v>79</v>
      </c>
      <c r="Q17" s="35" t="s">
        <v>71</v>
      </c>
      <c r="R17" s="212"/>
      <c r="S17" s="208"/>
      <c r="T17" s="345"/>
      <c r="V17" s="34" t="s">
        <v>79</v>
      </c>
      <c r="W17" s="35" t="s">
        <v>72</v>
      </c>
      <c r="X17" s="212"/>
      <c r="Y17" s="208"/>
      <c r="Z17" s="345"/>
      <c r="AB17" s="326"/>
      <c r="AC17" s="330"/>
      <c r="AD17" s="29">
        <v>3</v>
      </c>
      <c r="AE17" s="211">
        <v>8.391</v>
      </c>
      <c r="AF17" s="211">
        <v>11.106</v>
      </c>
      <c r="AG17" s="30">
        <f t="shared" si="0"/>
        <v>0.32356095816946728</v>
      </c>
      <c r="AH17" s="332"/>
      <c r="AI17" s="337"/>
      <c r="AJ17" s="339"/>
      <c r="AL17" s="171"/>
    </row>
    <row r="18" spans="2:38" ht="13.5" customHeight="1" x14ac:dyDescent="0.2">
      <c r="B18" s="33" t="s">
        <v>80</v>
      </c>
      <c r="C18" s="205" t="s">
        <v>81</v>
      </c>
      <c r="E18" s="346" t="s">
        <v>74</v>
      </c>
      <c r="F18" s="26" t="s">
        <v>68</v>
      </c>
      <c r="G18" s="207" t="s">
        <v>69</v>
      </c>
      <c r="H18" s="347"/>
      <c r="J18" s="342"/>
      <c r="K18" s="27" t="s">
        <v>75</v>
      </c>
      <c r="L18" s="209"/>
      <c r="M18" s="207"/>
      <c r="N18" s="344"/>
      <c r="AB18" s="326"/>
      <c r="AC18" s="328" t="s">
        <v>74</v>
      </c>
      <c r="AD18" s="29">
        <v>1</v>
      </c>
      <c r="AE18" s="211">
        <v>8.4120000000000008</v>
      </c>
      <c r="AF18" s="211">
        <v>11.157999999999999</v>
      </c>
      <c r="AG18" s="30">
        <f t="shared" si="0"/>
        <v>0.32643842130290041</v>
      </c>
      <c r="AH18" s="331">
        <f>IF(AF18="","",IF(AF19="","",IF(AF20="","",(AVERAGE(AG18:AG20)))))</f>
        <v>0.32556665081629405</v>
      </c>
      <c r="AI18" s="337"/>
      <c r="AJ18" s="339"/>
      <c r="AL18" s="171"/>
    </row>
    <row r="19" spans="2:38" ht="13.5" customHeight="1" thickBot="1" x14ac:dyDescent="0.25">
      <c r="B19" s="36" t="s">
        <v>82</v>
      </c>
      <c r="C19" s="206" t="s">
        <v>83</v>
      </c>
      <c r="E19" s="346"/>
      <c r="F19" s="26" t="s">
        <v>74</v>
      </c>
      <c r="G19" s="207" t="s">
        <v>69</v>
      </c>
      <c r="H19" s="347"/>
      <c r="J19" s="341" t="s">
        <v>79</v>
      </c>
      <c r="K19" s="27" t="s">
        <v>70</v>
      </c>
      <c r="L19" s="209"/>
      <c r="M19" s="207"/>
      <c r="N19" s="344"/>
      <c r="P19" s="277" t="s">
        <v>84</v>
      </c>
      <c r="V19" s="277" t="s">
        <v>85</v>
      </c>
      <c r="AB19" s="326"/>
      <c r="AC19" s="329"/>
      <c r="AD19" s="29">
        <v>2</v>
      </c>
      <c r="AE19" s="211">
        <v>8.4120000000000008</v>
      </c>
      <c r="AF19" s="211">
        <v>11.144</v>
      </c>
      <c r="AG19" s="30">
        <f t="shared" si="0"/>
        <v>0.32477413219210638</v>
      </c>
      <c r="AH19" s="332"/>
      <c r="AI19" s="337"/>
      <c r="AJ19" s="339"/>
      <c r="AL19" s="171"/>
    </row>
    <row r="20" spans="2:38" ht="13.5" customHeight="1" thickBot="1" x14ac:dyDescent="0.25">
      <c r="E20" s="346"/>
      <c r="F20" s="26" t="s">
        <v>78</v>
      </c>
      <c r="G20" s="207" t="s">
        <v>69</v>
      </c>
      <c r="H20" s="347"/>
      <c r="J20" s="343"/>
      <c r="K20" s="35" t="s">
        <v>75</v>
      </c>
      <c r="L20" s="210"/>
      <c r="M20" s="208"/>
      <c r="N20" s="345"/>
      <c r="AB20" s="326"/>
      <c r="AC20" s="330"/>
      <c r="AD20" s="29">
        <v>3</v>
      </c>
      <c r="AE20" s="211">
        <v>8.4120000000000008</v>
      </c>
      <c r="AF20" s="211">
        <v>11.15</v>
      </c>
      <c r="AG20" s="30">
        <f t="shared" si="0"/>
        <v>0.32548739895387535</v>
      </c>
      <c r="AH20" s="332"/>
      <c r="AI20" s="337"/>
      <c r="AJ20" s="339"/>
      <c r="AL20" s="171"/>
    </row>
    <row r="21" spans="2:38" ht="13.5" customHeight="1" x14ac:dyDescent="0.2">
      <c r="E21" s="346" t="s">
        <v>79</v>
      </c>
      <c r="F21" s="26" t="s">
        <v>68</v>
      </c>
      <c r="G21" s="207" t="s">
        <v>69</v>
      </c>
      <c r="H21" s="347"/>
      <c r="AB21" s="326"/>
      <c r="AC21" s="328" t="s">
        <v>78</v>
      </c>
      <c r="AD21" s="29">
        <v>1</v>
      </c>
      <c r="AE21" s="211">
        <v>8.4350000000000005</v>
      </c>
      <c r="AF21" s="211">
        <v>11.212</v>
      </c>
      <c r="AG21" s="30">
        <f t="shared" si="0"/>
        <v>0.32922347362181376</v>
      </c>
      <c r="AH21" s="331">
        <f t="shared" ref="AH21" si="1">IF(AF21="","",IF(AF22="","",IF(AF23="","",(AVERAGE(AG21:AG23)))))</f>
        <v>0.33222683264177033</v>
      </c>
      <c r="AI21" s="337"/>
      <c r="AJ21" s="339"/>
      <c r="AL21" s="171"/>
    </row>
    <row r="22" spans="2:38" ht="13.5" customHeight="1" x14ac:dyDescent="0.2">
      <c r="E22" s="346"/>
      <c r="F22" s="26" t="s">
        <v>74</v>
      </c>
      <c r="G22" s="207" t="s">
        <v>69</v>
      </c>
      <c r="H22" s="347"/>
      <c r="J22" s="277" t="s">
        <v>86</v>
      </c>
      <c r="AB22" s="326"/>
      <c r="AC22" s="329"/>
      <c r="AD22" s="29">
        <v>2</v>
      </c>
      <c r="AE22" s="211">
        <v>8.4350000000000005</v>
      </c>
      <c r="AF22" s="211">
        <v>11.282999999999999</v>
      </c>
      <c r="AG22" s="30">
        <f t="shared" si="0"/>
        <v>0.33764078245406032</v>
      </c>
      <c r="AH22" s="332"/>
      <c r="AI22" s="337"/>
      <c r="AJ22" s="339"/>
      <c r="AL22" s="171"/>
    </row>
    <row r="23" spans="2:38" ht="13.5" customHeight="1" thickBot="1" x14ac:dyDescent="0.25">
      <c r="C23" s="37"/>
      <c r="E23" s="350"/>
      <c r="F23" s="38" t="s">
        <v>78</v>
      </c>
      <c r="G23" s="208" t="s">
        <v>69</v>
      </c>
      <c r="H23" s="348"/>
      <c r="AB23" s="327"/>
      <c r="AC23" s="330"/>
      <c r="AD23" s="29">
        <v>3</v>
      </c>
      <c r="AE23" s="211">
        <v>8.4350000000000005</v>
      </c>
      <c r="AF23" s="211">
        <v>11.217000000000001</v>
      </c>
      <c r="AG23" s="30">
        <f t="shared" si="0"/>
        <v>0.32981624184943686</v>
      </c>
      <c r="AH23" s="332"/>
      <c r="AI23" s="337"/>
      <c r="AJ23" s="339"/>
      <c r="AL23" s="171"/>
    </row>
    <row r="24" spans="2:38" ht="13.5" customHeight="1" x14ac:dyDescent="0.2">
      <c r="AB24" s="325" t="s">
        <v>74</v>
      </c>
      <c r="AC24" s="328" t="s">
        <v>68</v>
      </c>
      <c r="AD24" s="29">
        <v>1</v>
      </c>
      <c r="AE24" s="211">
        <v>8.4350000000000005</v>
      </c>
      <c r="AF24" s="211">
        <v>11.166</v>
      </c>
      <c r="AG24" s="30">
        <f t="shared" si="0"/>
        <v>0.32377000592768224</v>
      </c>
      <c r="AH24" s="331">
        <f t="shared" ref="AH24" si="2">IF(AF24="","",IF(AF25="","",IF(AF26="","",(AVERAGE(AG24:AG26)))))</f>
        <v>0.3265362576565895</v>
      </c>
      <c r="AI24" s="337"/>
      <c r="AJ24" s="339"/>
      <c r="AL24" s="171"/>
    </row>
    <row r="25" spans="2:38" x14ac:dyDescent="0.2">
      <c r="AB25" s="326"/>
      <c r="AC25" s="329"/>
      <c r="AD25" s="29">
        <v>2</v>
      </c>
      <c r="AE25" s="211">
        <v>8.4350000000000005</v>
      </c>
      <c r="AF25" s="211">
        <v>11.180999999999999</v>
      </c>
      <c r="AG25" s="30">
        <f t="shared" si="0"/>
        <v>0.32554831061055112</v>
      </c>
      <c r="AH25" s="332"/>
      <c r="AI25" s="337"/>
      <c r="AJ25" s="339"/>
      <c r="AL25" s="171"/>
    </row>
    <row r="26" spans="2:38" x14ac:dyDescent="0.2">
      <c r="AB26" s="326"/>
      <c r="AC26" s="330"/>
      <c r="AD26" s="29">
        <v>3</v>
      </c>
      <c r="AE26" s="211">
        <v>8.4350000000000005</v>
      </c>
      <c r="AF26" s="211">
        <v>11.221</v>
      </c>
      <c r="AG26" s="30">
        <f t="shared" si="0"/>
        <v>0.33029045643153521</v>
      </c>
      <c r="AH26" s="332"/>
      <c r="AI26" s="337"/>
      <c r="AJ26" s="339"/>
      <c r="AL26" s="171"/>
    </row>
    <row r="27" spans="2:38" x14ac:dyDescent="0.2">
      <c r="H27" s="37"/>
      <c r="AB27" s="326"/>
      <c r="AC27" s="328" t="s">
        <v>74</v>
      </c>
      <c r="AD27" s="29">
        <v>1</v>
      </c>
      <c r="AE27" s="211">
        <v>8.4149999999999991</v>
      </c>
      <c r="AF27" s="211">
        <v>11.196999999999999</v>
      </c>
      <c r="AG27" s="30">
        <f t="shared" si="0"/>
        <v>0.33060011883541301</v>
      </c>
      <c r="AH27" s="331">
        <f t="shared" ref="AH27" si="3">IF(AF27="","",IF(AF28="","",IF(AF29="","",(AVERAGE(AG27:AG29)))))</f>
        <v>0.33060011883541307</v>
      </c>
      <c r="AI27" s="337"/>
      <c r="AJ27" s="339"/>
      <c r="AL27" s="171"/>
    </row>
    <row r="28" spans="2:38" x14ac:dyDescent="0.2">
      <c r="AB28" s="326"/>
      <c r="AC28" s="329"/>
      <c r="AD28" s="29">
        <v>2</v>
      </c>
      <c r="AE28" s="211">
        <v>8.4149999999999991</v>
      </c>
      <c r="AF28" s="211">
        <v>11.202999999999999</v>
      </c>
      <c r="AG28" s="30">
        <f t="shared" si="0"/>
        <v>0.33131313131313139</v>
      </c>
      <c r="AH28" s="332"/>
      <c r="AI28" s="337"/>
      <c r="AJ28" s="339"/>
      <c r="AL28" s="171"/>
    </row>
    <row r="29" spans="2:38" x14ac:dyDescent="0.2">
      <c r="AB29" s="326"/>
      <c r="AC29" s="330"/>
      <c r="AD29" s="29">
        <v>3</v>
      </c>
      <c r="AE29" s="211">
        <v>8.4149999999999991</v>
      </c>
      <c r="AF29" s="211">
        <v>11.191000000000001</v>
      </c>
      <c r="AG29" s="30">
        <f t="shared" si="0"/>
        <v>0.3298871063576948</v>
      </c>
      <c r="AH29" s="332"/>
      <c r="AI29" s="337"/>
      <c r="AJ29" s="339"/>
      <c r="AL29" s="171"/>
    </row>
    <row r="30" spans="2:38" x14ac:dyDescent="0.2">
      <c r="AB30" s="326"/>
      <c r="AC30" s="328" t="s">
        <v>78</v>
      </c>
      <c r="AD30" s="29">
        <v>1</v>
      </c>
      <c r="AE30" s="211">
        <v>8.4269999999999996</v>
      </c>
      <c r="AF30" s="211">
        <v>11.215</v>
      </c>
      <c r="AG30" s="30">
        <f t="shared" si="0"/>
        <v>0.3308413433012935</v>
      </c>
      <c r="AH30" s="331">
        <f t="shared" ref="AH30" si="4">IF(AF30="","",IF(AF31="","",IF(AF32="","",(AVERAGE(AG30:AG32)))))</f>
        <v>0.33072267710929165</v>
      </c>
      <c r="AI30" s="337"/>
      <c r="AJ30" s="339"/>
      <c r="AK30" s="39"/>
      <c r="AL30" s="171"/>
    </row>
    <row r="31" spans="2:38" x14ac:dyDescent="0.2">
      <c r="AB31" s="326"/>
      <c r="AC31" s="329"/>
      <c r="AD31" s="29">
        <v>2</v>
      </c>
      <c r="AE31" s="211">
        <v>8.4269999999999996</v>
      </c>
      <c r="AF31" s="211">
        <v>11.191000000000001</v>
      </c>
      <c r="AG31" s="30">
        <f t="shared" si="0"/>
        <v>0.32799335469324803</v>
      </c>
      <c r="AH31" s="332"/>
      <c r="AI31" s="337"/>
      <c r="AJ31" s="339"/>
      <c r="AL31" s="171"/>
    </row>
    <row r="32" spans="2:38" x14ac:dyDescent="0.2">
      <c r="AB32" s="327"/>
      <c r="AC32" s="330"/>
      <c r="AD32" s="29">
        <v>3</v>
      </c>
      <c r="AE32" s="211">
        <v>8.4269999999999996</v>
      </c>
      <c r="AF32" s="211">
        <v>11.236000000000001</v>
      </c>
      <c r="AG32" s="30">
        <f t="shared" si="0"/>
        <v>0.33333333333333348</v>
      </c>
      <c r="AH32" s="332"/>
      <c r="AI32" s="337"/>
      <c r="AJ32" s="339"/>
      <c r="AL32" s="171"/>
    </row>
    <row r="33" spans="1:38" x14ac:dyDescent="0.2">
      <c r="AB33" s="325" t="s">
        <v>79</v>
      </c>
      <c r="AC33" s="328" t="s">
        <v>68</v>
      </c>
      <c r="AD33" s="29">
        <v>1</v>
      </c>
      <c r="AE33" s="211">
        <v>8.4450000000000003</v>
      </c>
      <c r="AF33" s="211">
        <v>11.2</v>
      </c>
      <c r="AG33" s="30">
        <f t="shared" si="0"/>
        <v>0.32622853759621062</v>
      </c>
      <c r="AH33" s="331">
        <f t="shared" ref="AH33" si="5">IF(AF33="","",IF(AF34="","",IF(AF35="","",(AVERAGE(AG33:AG35)))))</f>
        <v>0.32942569567791585</v>
      </c>
      <c r="AI33" s="337"/>
      <c r="AJ33" s="339"/>
      <c r="AL33" s="171"/>
    </row>
    <row r="34" spans="1:38" x14ac:dyDescent="0.2">
      <c r="AB34" s="326"/>
      <c r="AC34" s="329"/>
      <c r="AD34" s="29">
        <v>2</v>
      </c>
      <c r="AE34" s="211">
        <v>8.4450000000000003</v>
      </c>
      <c r="AF34" s="211">
        <v>11.269</v>
      </c>
      <c r="AG34" s="30">
        <f t="shared" si="0"/>
        <v>0.33439905269390169</v>
      </c>
      <c r="AH34" s="332"/>
      <c r="AI34" s="337"/>
      <c r="AJ34" s="339"/>
      <c r="AL34" s="171"/>
    </row>
    <row r="35" spans="1:38" x14ac:dyDescent="0.2">
      <c r="E35" s="40"/>
      <c r="F35" s="40"/>
      <c r="G35" s="40"/>
      <c r="H35" s="40"/>
      <c r="AB35" s="326"/>
      <c r="AC35" s="330"/>
      <c r="AD35" s="29">
        <v>3</v>
      </c>
      <c r="AE35" s="211">
        <v>8.4450000000000003</v>
      </c>
      <c r="AF35" s="211">
        <v>11.212</v>
      </c>
      <c r="AG35" s="30">
        <f t="shared" si="0"/>
        <v>0.32764949674363519</v>
      </c>
      <c r="AH35" s="332"/>
      <c r="AI35" s="337"/>
      <c r="AJ35" s="339"/>
      <c r="AL35" s="172"/>
    </row>
    <row r="36" spans="1:38" x14ac:dyDescent="0.2">
      <c r="I36" s="41"/>
      <c r="J36" s="41"/>
      <c r="K36" s="41"/>
      <c r="L36" s="41"/>
      <c r="M36" s="41"/>
      <c r="N36" s="41"/>
      <c r="O36" s="41"/>
      <c r="P36" s="41"/>
      <c r="Q36" s="41"/>
      <c r="R36" s="41"/>
      <c r="S36" s="41"/>
      <c r="T36" s="41"/>
      <c r="U36" s="41"/>
      <c r="V36" s="41"/>
      <c r="W36" s="41"/>
      <c r="X36" s="41"/>
      <c r="Y36" s="41"/>
      <c r="Z36" s="41"/>
      <c r="AB36" s="326"/>
      <c r="AC36" s="328" t="s">
        <v>74</v>
      </c>
      <c r="AD36" s="29">
        <v>1</v>
      </c>
      <c r="AE36" s="211">
        <v>8.4239999999999995</v>
      </c>
      <c r="AF36" s="211">
        <v>11.182</v>
      </c>
      <c r="AG36" s="30">
        <f t="shared" si="0"/>
        <v>0.32739791073124419</v>
      </c>
      <c r="AH36" s="331">
        <f t="shared" ref="AH36" si="6">IF(AF36="","",IF(AF37="","",IF(AF38="","",(AVERAGE(AG36:AG38)))))</f>
        <v>0.32898069009180131</v>
      </c>
      <c r="AI36" s="337"/>
      <c r="AJ36" s="339"/>
      <c r="AL36" s="172"/>
    </row>
    <row r="37" spans="1:38" x14ac:dyDescent="0.2">
      <c r="I37" s="41"/>
      <c r="J37" s="41"/>
      <c r="K37" s="41"/>
      <c r="L37" s="41"/>
      <c r="M37" s="41"/>
      <c r="N37" s="41"/>
      <c r="O37" s="41"/>
      <c r="P37" s="41"/>
      <c r="Q37" s="41"/>
      <c r="R37" s="41"/>
      <c r="S37" s="41"/>
      <c r="T37" s="41"/>
      <c r="U37" s="41"/>
      <c r="V37" s="41"/>
      <c r="W37" s="41"/>
      <c r="X37" s="41"/>
      <c r="Y37" s="41"/>
      <c r="Z37" s="41"/>
      <c r="AB37" s="326"/>
      <c r="AC37" s="329"/>
      <c r="AD37" s="29">
        <v>2</v>
      </c>
      <c r="AE37" s="211">
        <v>8.4239999999999995</v>
      </c>
      <c r="AF37" s="211">
        <v>11.182</v>
      </c>
      <c r="AG37" s="30">
        <f t="shared" si="0"/>
        <v>0.32739791073124419</v>
      </c>
      <c r="AH37" s="332"/>
      <c r="AI37" s="337"/>
      <c r="AJ37" s="339"/>
      <c r="AL37" s="172"/>
    </row>
    <row r="38" spans="1:38" x14ac:dyDescent="0.2">
      <c r="I38" s="41"/>
      <c r="J38" s="41"/>
      <c r="K38" s="41"/>
      <c r="L38" s="41"/>
      <c r="M38" s="41"/>
      <c r="N38" s="41"/>
      <c r="O38" s="41"/>
      <c r="P38" s="41"/>
      <c r="Q38" s="41"/>
      <c r="R38" s="41"/>
      <c r="S38" s="41"/>
      <c r="T38" s="41"/>
      <c r="U38" s="41"/>
      <c r="V38" s="41"/>
      <c r="W38" s="41"/>
      <c r="X38" s="41"/>
      <c r="Y38" s="41"/>
      <c r="Z38" s="41"/>
      <c r="AA38" s="41"/>
      <c r="AB38" s="326"/>
      <c r="AC38" s="330"/>
      <c r="AD38" s="29">
        <v>3</v>
      </c>
      <c r="AE38" s="211">
        <v>8.4239999999999995</v>
      </c>
      <c r="AF38" s="211">
        <v>11.222</v>
      </c>
      <c r="AG38" s="30">
        <f t="shared" si="0"/>
        <v>0.33214624881291549</v>
      </c>
      <c r="AH38" s="332"/>
      <c r="AI38" s="337"/>
      <c r="AJ38" s="339"/>
      <c r="AK38" s="41"/>
      <c r="AL38" s="172"/>
    </row>
    <row r="39" spans="1:38" x14ac:dyDescent="0.2">
      <c r="I39" s="41"/>
      <c r="J39" s="41"/>
      <c r="K39" s="41"/>
      <c r="L39" s="41"/>
      <c r="M39" s="41"/>
      <c r="N39" s="41"/>
      <c r="O39" s="41"/>
      <c r="P39" s="41"/>
      <c r="Q39" s="41"/>
      <c r="R39" s="41"/>
      <c r="S39" s="41"/>
      <c r="T39" s="41"/>
      <c r="U39" s="41"/>
      <c r="V39" s="41"/>
      <c r="W39" s="41"/>
      <c r="X39" s="41"/>
      <c r="Y39" s="41"/>
      <c r="Z39" s="41"/>
      <c r="AA39" s="41"/>
      <c r="AB39" s="326"/>
      <c r="AC39" s="328" t="s">
        <v>78</v>
      </c>
      <c r="AD39" s="29">
        <v>1</v>
      </c>
      <c r="AE39" s="211">
        <v>8.4339999999999993</v>
      </c>
      <c r="AF39" s="211">
        <v>11.162000000000001</v>
      </c>
      <c r="AG39" s="30">
        <f t="shared" si="0"/>
        <v>0.32345269148683919</v>
      </c>
      <c r="AH39" s="331">
        <f t="shared" ref="AH39" si="7">IF(AF39="","",IF(AF40="","",IF(AF41="","",(AVERAGE(AG39:AG41)))))</f>
        <v>0.32214844676310189</v>
      </c>
      <c r="AI39" s="337"/>
      <c r="AJ39" s="339"/>
      <c r="AK39" s="41"/>
      <c r="AL39" s="172"/>
    </row>
    <row r="40" spans="1:38" x14ac:dyDescent="0.2">
      <c r="I40" s="41"/>
      <c r="J40" s="41"/>
      <c r="K40" s="41"/>
      <c r="L40" s="41"/>
      <c r="M40" s="41"/>
      <c r="N40" s="41"/>
      <c r="O40" s="41"/>
      <c r="P40" s="41"/>
      <c r="Q40" s="41"/>
      <c r="R40" s="41"/>
      <c r="S40" s="41"/>
      <c r="T40" s="41"/>
      <c r="U40" s="41"/>
      <c r="V40" s="41"/>
      <c r="W40" s="41"/>
      <c r="X40" s="41"/>
      <c r="Y40" s="41"/>
      <c r="Z40" s="41"/>
      <c r="AA40" s="41"/>
      <c r="AB40" s="326"/>
      <c r="AC40" s="329"/>
      <c r="AD40" s="29">
        <v>2</v>
      </c>
      <c r="AE40" s="211">
        <v>8.4339999999999993</v>
      </c>
      <c r="AF40" s="211">
        <v>11.125</v>
      </c>
      <c r="AG40" s="30">
        <f t="shared" si="0"/>
        <v>0.31906568650699563</v>
      </c>
      <c r="AH40" s="332"/>
      <c r="AI40" s="337"/>
      <c r="AJ40" s="339"/>
      <c r="AK40" s="41"/>
      <c r="AL40" s="172"/>
    </row>
    <row r="41" spans="1:38" ht="13.5" thickBot="1" x14ac:dyDescent="0.25">
      <c r="U41" s="41"/>
      <c r="AA41" s="41"/>
      <c r="AB41" s="333"/>
      <c r="AC41" s="334"/>
      <c r="AD41" s="42">
        <v>3</v>
      </c>
      <c r="AE41" s="212">
        <v>8.4339999999999993</v>
      </c>
      <c r="AF41" s="212">
        <v>11.166</v>
      </c>
      <c r="AG41" s="43">
        <f t="shared" si="0"/>
        <v>0.32392696229547085</v>
      </c>
      <c r="AH41" s="335"/>
      <c r="AI41" s="338"/>
      <c r="AJ41" s="340"/>
      <c r="AK41" s="41"/>
      <c r="AL41" s="172"/>
    </row>
    <row r="42" spans="1:38" x14ac:dyDescent="0.2">
      <c r="U42" s="41"/>
      <c r="AA42" s="41"/>
      <c r="AB42" s="279"/>
      <c r="AC42" s="279"/>
      <c r="AD42" s="279"/>
      <c r="AE42"/>
      <c r="AF42"/>
      <c r="AG42" s="280"/>
      <c r="AH42" s="279"/>
      <c r="AI42" s="281"/>
      <c r="AJ42"/>
      <c r="AK42" s="41"/>
      <c r="AL42" s="172"/>
    </row>
    <row r="43" spans="1:38" x14ac:dyDescent="0.2">
      <c r="U43" s="41"/>
      <c r="AA43" s="41"/>
      <c r="AB43" s="277" t="s">
        <v>87</v>
      </c>
      <c r="AC43" s="279"/>
      <c r="AD43" s="279"/>
      <c r="AE43"/>
      <c r="AF43"/>
      <c r="AG43" s="280"/>
      <c r="AH43" s="279"/>
      <c r="AI43" s="281"/>
      <c r="AJ43"/>
      <c r="AK43" s="41"/>
      <c r="AL43" s="172"/>
    </row>
    <row r="44" spans="1:38" x14ac:dyDescent="0.2">
      <c r="U44" s="41"/>
      <c r="AA44" s="41"/>
      <c r="AB44" s="41"/>
      <c r="AC44" s="41"/>
      <c r="AD44" s="41"/>
      <c r="AE44"/>
      <c r="AF44"/>
      <c r="AG44" s="41"/>
      <c r="AH44" s="41"/>
      <c r="AI44" s="41"/>
      <c r="AJ44"/>
      <c r="AK44" s="41"/>
      <c r="AL44" s="172"/>
    </row>
    <row r="45" spans="1:38" x14ac:dyDescent="0.2">
      <c r="A45" s="171"/>
      <c r="B45" s="171"/>
      <c r="C45" s="171"/>
      <c r="D45" s="171"/>
      <c r="E45" s="171"/>
      <c r="F45" s="171"/>
      <c r="G45" s="171"/>
      <c r="H45" s="171"/>
      <c r="I45" s="171"/>
      <c r="J45" s="171"/>
      <c r="K45" s="171"/>
      <c r="L45" s="171"/>
      <c r="M45" s="171"/>
      <c r="N45" s="171"/>
      <c r="O45" s="171"/>
      <c r="P45" s="171"/>
      <c r="Q45" s="171"/>
      <c r="R45" s="171"/>
      <c r="S45" s="171"/>
      <c r="T45" s="171"/>
      <c r="U45" s="173"/>
      <c r="V45" s="171"/>
      <c r="W45" s="171"/>
      <c r="X45" s="171"/>
      <c r="Y45" s="171"/>
      <c r="Z45" s="171"/>
      <c r="AA45" s="172"/>
      <c r="AB45" s="172"/>
      <c r="AC45" s="172"/>
      <c r="AD45" s="172"/>
      <c r="AE45" s="172"/>
      <c r="AF45" s="172"/>
      <c r="AG45" s="172"/>
      <c r="AH45" s="172"/>
      <c r="AI45" s="172"/>
      <c r="AJ45" s="172"/>
      <c r="AK45" s="172"/>
      <c r="AL45" s="173"/>
    </row>
    <row r="46" spans="1:38" x14ac:dyDescent="0.2">
      <c r="U46" s="44"/>
      <c r="AA46" s="41"/>
      <c r="AB46" s="41"/>
      <c r="AC46" s="41"/>
      <c r="AD46" s="41"/>
      <c r="AE46" s="41"/>
      <c r="AF46" s="41"/>
      <c r="AG46" s="41"/>
      <c r="AH46" s="41"/>
      <c r="AI46" s="41"/>
      <c r="AJ46" s="41"/>
      <c r="AK46" s="41"/>
      <c r="AL46" s="44"/>
    </row>
  </sheetData>
  <sheetProtection algorithmName="SHA-512" hashValue="fqnitCSFYc2Srws6SQvccpyk1lR2LZ91zmiO9NSCuwHT5mU4oBsPhq6nQXAH+wQTmrOyiIeEgIh0yKpfnnrtVg==" saltValue="XXaMNPbBvj0STrgG2h+Wuw==" spinCount="100000" sheet="1" selectLockedCells="1"/>
  <mergeCells count="47">
    <mergeCell ref="L4:M4"/>
    <mergeCell ref="B8:C8"/>
    <mergeCell ref="B2:J2"/>
    <mergeCell ref="D3:J3"/>
    <mergeCell ref="D4:J4"/>
    <mergeCell ref="D5:J5"/>
    <mergeCell ref="D6:J6"/>
    <mergeCell ref="D7:J7"/>
    <mergeCell ref="D8:J8"/>
    <mergeCell ref="B5:C5"/>
    <mergeCell ref="B6:C6"/>
    <mergeCell ref="B7:C7"/>
    <mergeCell ref="B3:C3"/>
    <mergeCell ref="B4:C4"/>
    <mergeCell ref="E15:E17"/>
    <mergeCell ref="H15:H23"/>
    <mergeCell ref="J15:J16"/>
    <mergeCell ref="N15:N20"/>
    <mergeCell ref="T15:T17"/>
    <mergeCell ref="E18:E20"/>
    <mergeCell ref="E21:E23"/>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AB15:AB23"/>
    <mergeCell ref="AC15:AC17"/>
    <mergeCell ref="AH15:AH17"/>
    <mergeCell ref="AB33:AB41"/>
    <mergeCell ref="AC33:AC35"/>
    <mergeCell ref="AH33:AH35"/>
    <mergeCell ref="AC36:AC38"/>
    <mergeCell ref="AH36:AH38"/>
    <mergeCell ref="AC39:AC41"/>
    <mergeCell ref="AH39:AH41"/>
  </mergeCells>
  <hyperlinks>
    <hyperlink ref="L4" location="Instructions!C35" display="Back to Instructions tab" xr:uid="{00000000-0004-0000-0100-000000000000}"/>
  </hyperlink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37"/>
  <sheetViews>
    <sheetView showGridLines="0" zoomScale="80" zoomScaleNormal="80" zoomScalePageLayoutView="90" workbookViewId="0">
      <selection activeCell="C14" sqref="C14"/>
    </sheetView>
  </sheetViews>
  <sheetFormatPr defaultColWidth="9.140625" defaultRowHeight="15" customHeight="1" x14ac:dyDescent="0.2"/>
  <cols>
    <col min="1" max="1" width="2.28515625" style="3" customWidth="1"/>
    <col min="2" max="2" width="19.7109375" style="3" customWidth="1"/>
    <col min="3" max="3" width="28.85546875" style="3" customWidth="1"/>
    <col min="4" max="4" width="8.7109375" style="3" customWidth="1"/>
    <col min="5" max="5" width="10.5703125" style="3" customWidth="1"/>
    <col min="6" max="15" width="8.7109375" style="3" customWidth="1"/>
    <col min="16" max="17" width="8.7109375" customWidth="1"/>
    <col min="18" max="18" width="4" customWidth="1"/>
    <col min="19" max="19" width="3.42578125" customWidth="1"/>
    <col min="20" max="24" width="8.85546875" customWidth="1"/>
    <col min="25" max="25" width="4.28515625" style="3" customWidth="1"/>
    <col min="26" max="16384" width="9.140625" style="3"/>
  </cols>
  <sheetData>
    <row r="1" spans="2:26" ht="15" customHeight="1" thickBot="1" x14ac:dyDescent="0.25">
      <c r="B1" s="48"/>
      <c r="C1" s="48"/>
      <c r="D1" s="48"/>
      <c r="E1" s="48"/>
      <c r="F1" s="48"/>
      <c r="G1" s="48"/>
      <c r="H1" s="48"/>
      <c r="I1" s="48"/>
      <c r="J1" s="48"/>
      <c r="K1" s="48"/>
      <c r="L1" s="48"/>
      <c r="M1" s="48"/>
      <c r="N1" s="48"/>
      <c r="O1" s="48"/>
      <c r="S1" s="170"/>
      <c r="Y1" s="48"/>
      <c r="Z1" s="48"/>
    </row>
    <row r="2" spans="2:26" ht="15" customHeight="1" thickBot="1" x14ac:dyDescent="0.25">
      <c r="B2" s="317" t="str">
        <f>'Version Control'!B2:C2</f>
        <v>Title Block</v>
      </c>
      <c r="C2" s="354"/>
      <c r="D2" s="354"/>
      <c r="E2" s="354"/>
      <c r="F2" s="354"/>
      <c r="G2" s="354"/>
      <c r="H2" s="354"/>
      <c r="I2" s="354"/>
      <c r="J2" s="354"/>
      <c r="K2" s="318"/>
      <c r="L2" s="48"/>
      <c r="M2" s="48"/>
      <c r="N2" s="48"/>
      <c r="O2" s="48"/>
      <c r="S2" s="170"/>
      <c r="Y2" s="48"/>
      <c r="Z2" s="48"/>
    </row>
    <row r="3" spans="2:26" ht="15" customHeight="1" x14ac:dyDescent="0.2">
      <c r="B3" s="384" t="str">
        <f>'Version Control'!B3</f>
        <v>Test Report Template Name:</v>
      </c>
      <c r="C3" s="385"/>
      <c r="D3" s="386" t="str">
        <f>'Version Control'!C3</f>
        <v xml:space="preserve">Test Cloth Correction Factors </v>
      </c>
      <c r="E3" s="386"/>
      <c r="F3" s="386"/>
      <c r="G3" s="386"/>
      <c r="H3" s="386"/>
      <c r="I3" s="386"/>
      <c r="J3" s="386"/>
      <c r="K3" s="387"/>
      <c r="L3" s="48"/>
      <c r="M3" s="48"/>
      <c r="N3" s="48"/>
      <c r="O3" s="48"/>
      <c r="S3" s="170"/>
      <c r="Y3" s="48"/>
      <c r="Z3" s="48"/>
    </row>
    <row r="4" spans="2:26" ht="15" customHeight="1" x14ac:dyDescent="0.3">
      <c r="B4" s="371" t="str">
        <f>'Version Control'!B4</f>
        <v>Version Number:</v>
      </c>
      <c r="C4" s="372"/>
      <c r="D4" s="368" t="str">
        <f>'Version Control'!C4</f>
        <v>v2.3</v>
      </c>
      <c r="E4" s="368"/>
      <c r="F4" s="368"/>
      <c r="G4" s="368"/>
      <c r="H4" s="368"/>
      <c r="I4" s="368"/>
      <c r="J4" s="368"/>
      <c r="K4" s="381"/>
      <c r="L4" s="48"/>
      <c r="M4" s="351" t="s">
        <v>39</v>
      </c>
      <c r="N4" s="351"/>
      <c r="O4" s="351"/>
      <c r="S4" s="170"/>
      <c r="Y4" s="48"/>
      <c r="Z4" s="48"/>
    </row>
    <row r="5" spans="2:26" ht="15" customHeight="1" x14ac:dyDescent="0.2">
      <c r="B5" s="367" t="str">
        <f>'Version Control'!B5</f>
        <v xml:space="preserve">Latest Template Revision: </v>
      </c>
      <c r="C5" s="368"/>
      <c r="D5" s="388">
        <f>'Version Control'!C5</f>
        <v>44755</v>
      </c>
      <c r="E5" s="388"/>
      <c r="F5" s="388"/>
      <c r="G5" s="388"/>
      <c r="H5" s="388"/>
      <c r="I5" s="388"/>
      <c r="J5" s="388"/>
      <c r="K5" s="389"/>
      <c r="L5" s="48"/>
      <c r="M5" s="48"/>
      <c r="N5" s="48"/>
      <c r="O5" s="48"/>
      <c r="S5" s="170"/>
      <c r="Y5" s="48"/>
      <c r="Z5" s="48"/>
    </row>
    <row r="6" spans="2:26" ht="15" customHeight="1" x14ac:dyDescent="0.2">
      <c r="B6" s="367" t="str">
        <f>'Version Control'!B6</f>
        <v>Tab Name:</v>
      </c>
      <c r="C6" s="368"/>
      <c r="D6" s="368" t="str">
        <f ca="1">MID(CELL("filename",A1), FIND("]", CELL("filename", A1))+ 1, 255)</f>
        <v>Extractor Tests Raw Data</v>
      </c>
      <c r="E6" s="368"/>
      <c r="F6" s="368"/>
      <c r="G6" s="368"/>
      <c r="H6" s="368"/>
      <c r="I6" s="368"/>
      <c r="J6" s="368"/>
      <c r="K6" s="381"/>
      <c r="L6" s="48"/>
      <c r="M6" s="48"/>
      <c r="N6" s="48"/>
      <c r="O6" s="48"/>
      <c r="S6" s="170"/>
      <c r="Y6" s="48"/>
      <c r="Z6" s="48"/>
    </row>
    <row r="7" spans="2:26" ht="15" customHeight="1" x14ac:dyDescent="0.2">
      <c r="B7" s="367" t="str">
        <f>'Version Control'!B7</f>
        <v>File Name:</v>
      </c>
      <c r="C7" s="368"/>
      <c r="D7" s="368" t="str">
        <f ca="1">'Version Control'!C7</f>
        <v>Lot AATCC 3345_correction_factor.xlsx</v>
      </c>
      <c r="E7" s="368"/>
      <c r="F7" s="368"/>
      <c r="G7" s="368"/>
      <c r="H7" s="368"/>
      <c r="I7" s="368"/>
      <c r="J7" s="368"/>
      <c r="K7" s="381"/>
      <c r="L7" s="48"/>
      <c r="M7" s="48"/>
      <c r="N7" s="48"/>
      <c r="O7" s="48"/>
      <c r="S7" s="170"/>
      <c r="Y7" s="48"/>
      <c r="Z7" s="48"/>
    </row>
    <row r="8" spans="2:26" ht="15" customHeight="1" thickBot="1" x14ac:dyDescent="0.25">
      <c r="B8" s="352" t="str">
        <f>'Version Control'!B8</f>
        <v xml:space="preserve">Test Completion Date: </v>
      </c>
      <c r="C8" s="353"/>
      <c r="D8" s="382" t="str">
        <f>'Version Control'!C8</f>
        <v>10/16/2023-10/27/2023</v>
      </c>
      <c r="E8" s="382"/>
      <c r="F8" s="382"/>
      <c r="G8" s="382"/>
      <c r="H8" s="382"/>
      <c r="I8" s="382"/>
      <c r="J8" s="382"/>
      <c r="K8" s="383"/>
      <c r="L8" s="48"/>
      <c r="M8" s="48"/>
      <c r="N8" s="48"/>
      <c r="O8" s="48"/>
      <c r="S8" s="170"/>
      <c r="Y8" s="48"/>
      <c r="Z8" s="48"/>
    </row>
    <row r="9" spans="2:26" ht="15" customHeight="1" x14ac:dyDescent="0.2">
      <c r="B9" s="48"/>
      <c r="C9" s="48"/>
      <c r="D9" s="48"/>
      <c r="E9" s="48"/>
      <c r="F9" s="48"/>
      <c r="G9" s="48"/>
      <c r="H9" s="48"/>
      <c r="I9" s="48"/>
      <c r="J9" s="48"/>
      <c r="K9" s="48"/>
      <c r="L9" s="48"/>
      <c r="M9" s="48"/>
      <c r="N9" s="48"/>
      <c r="O9" s="48"/>
      <c r="S9" s="170"/>
      <c r="Y9" s="48"/>
      <c r="Z9" s="48"/>
    </row>
    <row r="10" spans="2:26" ht="15" customHeight="1" x14ac:dyDescent="0.2">
      <c r="B10" s="48"/>
      <c r="C10" s="48"/>
      <c r="D10" s="48"/>
      <c r="E10" s="48"/>
      <c r="F10" s="48"/>
      <c r="G10" s="48"/>
      <c r="H10" s="48"/>
      <c r="I10" s="48"/>
      <c r="J10" s="48"/>
      <c r="K10" s="48"/>
      <c r="L10" s="48"/>
      <c r="M10" s="48"/>
      <c r="N10" s="48"/>
      <c r="O10" s="48"/>
      <c r="S10" s="170"/>
      <c r="Y10" s="48"/>
      <c r="Z10" s="48"/>
    </row>
    <row r="11" spans="2:26" s="9" customFormat="1" ht="15" customHeight="1" x14ac:dyDescent="0.25">
      <c r="B11" s="8" t="s">
        <v>40</v>
      </c>
      <c r="S11" s="171"/>
    </row>
    <row r="12" spans="2:26" ht="15" customHeight="1" x14ac:dyDescent="0.2">
      <c r="B12" s="48" t="s">
        <v>88</v>
      </c>
      <c r="C12" s="48"/>
      <c r="D12" s="48"/>
      <c r="E12" s="48"/>
      <c r="F12" s="48"/>
      <c r="G12" s="48"/>
      <c r="H12" s="48"/>
      <c r="I12" s="48"/>
      <c r="J12" s="48"/>
      <c r="K12" s="48"/>
      <c r="L12"/>
      <c r="M12" s="48"/>
      <c r="N12" s="48"/>
      <c r="O12" s="48"/>
      <c r="P12" s="48"/>
      <c r="Q12" s="48"/>
      <c r="R12" s="48"/>
      <c r="S12" s="283"/>
      <c r="Y12"/>
      <c r="Z12"/>
    </row>
    <row r="13" spans="2:26" ht="15" customHeight="1" thickBot="1" x14ac:dyDescent="0.25">
      <c r="B13" s="48"/>
      <c r="C13" s="48"/>
      <c r="D13" s="48"/>
      <c r="E13" s="7" t="s">
        <v>89</v>
      </c>
      <c r="F13" s="48"/>
      <c r="G13" s="48"/>
      <c r="H13" s="48"/>
      <c r="I13" s="48"/>
      <c r="J13" s="48"/>
      <c r="K13" s="48"/>
      <c r="L13" s="48"/>
      <c r="M13" s="48"/>
      <c r="N13" s="48"/>
      <c r="O13" s="48"/>
      <c r="S13" s="170"/>
      <c r="Y13" s="48"/>
      <c r="Z13" s="48"/>
    </row>
    <row r="14" spans="2:26" ht="15" customHeight="1" thickBot="1" x14ac:dyDescent="0.3">
      <c r="B14" s="10" t="s">
        <v>90</v>
      </c>
      <c r="C14" s="203" t="s">
        <v>42</v>
      </c>
      <c r="D14" s="48"/>
      <c r="E14" s="376" t="s">
        <v>91</v>
      </c>
      <c r="F14" s="46" t="s">
        <v>92</v>
      </c>
      <c r="G14" s="284"/>
      <c r="H14" s="285"/>
      <c r="I14" s="46"/>
      <c r="J14" s="284"/>
      <c r="K14" s="285"/>
      <c r="L14" s="46" t="s">
        <v>93</v>
      </c>
      <c r="M14" s="284"/>
      <c r="N14" s="285"/>
      <c r="O14" s="46"/>
      <c r="P14" s="284"/>
      <c r="Q14" s="285"/>
      <c r="R14" s="48"/>
      <c r="S14" s="283"/>
      <c r="T14" s="48"/>
      <c r="U14" s="48"/>
      <c r="V14" s="48"/>
      <c r="W14" s="48"/>
      <c r="Y14" s="48"/>
      <c r="Z14" s="48"/>
    </row>
    <row r="15" spans="2:26" ht="15" customHeight="1" thickBot="1" x14ac:dyDescent="0.25">
      <c r="B15" s="18" t="s">
        <v>48</v>
      </c>
      <c r="C15" s="19" t="str">
        <f>'Analysis of Variance'!J9</f>
        <v>No</v>
      </c>
      <c r="D15" s="48"/>
      <c r="E15" s="377"/>
      <c r="F15" s="46" t="s">
        <v>94</v>
      </c>
      <c r="G15" s="286"/>
      <c r="H15" s="287"/>
      <c r="I15" s="46" t="s">
        <v>95</v>
      </c>
      <c r="J15" s="286"/>
      <c r="K15" s="287"/>
      <c r="L15" s="46" t="s">
        <v>94</v>
      </c>
      <c r="M15" s="286"/>
      <c r="N15" s="287"/>
      <c r="O15" s="46" t="s">
        <v>95</v>
      </c>
      <c r="P15" s="286"/>
      <c r="Q15" s="287"/>
      <c r="R15" s="48"/>
      <c r="S15" s="283"/>
      <c r="T15" s="48"/>
      <c r="U15" s="48"/>
      <c r="V15" s="48"/>
      <c r="W15" s="48"/>
      <c r="Y15" s="48"/>
      <c r="Z15" s="48"/>
    </row>
    <row r="16" spans="2:26" ht="15" customHeight="1" thickBot="1" x14ac:dyDescent="0.25">
      <c r="B16" s="48"/>
      <c r="C16" s="49" t="s">
        <v>96</v>
      </c>
      <c r="D16" s="48"/>
      <c r="E16" s="378"/>
      <c r="F16" s="288" t="s">
        <v>97</v>
      </c>
      <c r="G16" s="45" t="s">
        <v>98</v>
      </c>
      <c r="H16" s="289" t="s">
        <v>99</v>
      </c>
      <c r="I16" s="288" t="s">
        <v>97</v>
      </c>
      <c r="J16" s="45" t="s">
        <v>98</v>
      </c>
      <c r="K16" s="289" t="s">
        <v>99</v>
      </c>
      <c r="L16" s="288" t="s">
        <v>97</v>
      </c>
      <c r="M16" s="45" t="s">
        <v>98</v>
      </c>
      <c r="N16" s="289" t="s">
        <v>99</v>
      </c>
      <c r="O16" s="288" t="s">
        <v>97</v>
      </c>
      <c r="P16" s="45" t="s">
        <v>98</v>
      </c>
      <c r="Q16" s="289" t="s">
        <v>99</v>
      </c>
      <c r="R16" s="48"/>
      <c r="S16" s="283"/>
      <c r="T16" s="48"/>
      <c r="U16" s="48"/>
      <c r="V16" s="48"/>
      <c r="W16" s="48"/>
      <c r="Y16" s="48"/>
      <c r="Z16" s="48"/>
    </row>
    <row r="17" spans="2:23" ht="15" customHeight="1" thickBot="1" x14ac:dyDescent="0.25">
      <c r="B17" s="48"/>
      <c r="C17" s="48"/>
      <c r="D17" s="48"/>
      <c r="E17" s="373" t="s">
        <v>100</v>
      </c>
      <c r="F17" s="290" t="s">
        <v>101</v>
      </c>
      <c r="G17" s="215">
        <v>8.4139999999999997</v>
      </c>
      <c r="H17" s="291">
        <v>13.068</v>
      </c>
      <c r="I17" s="290" t="s">
        <v>102</v>
      </c>
      <c r="J17" s="215">
        <v>8.4190000000000005</v>
      </c>
      <c r="K17" s="291">
        <v>13.529</v>
      </c>
      <c r="L17" s="290" t="s">
        <v>103</v>
      </c>
      <c r="M17" s="215">
        <v>8.4190000000000005</v>
      </c>
      <c r="N17" s="291">
        <v>13.409000000000001</v>
      </c>
      <c r="O17" s="290" t="s">
        <v>101</v>
      </c>
      <c r="P17" s="215">
        <v>8.4139999999999997</v>
      </c>
      <c r="Q17" s="291">
        <v>13.913</v>
      </c>
      <c r="R17" s="48"/>
      <c r="S17" s="283"/>
      <c r="T17" s="48"/>
      <c r="U17" s="48"/>
      <c r="V17" s="48"/>
      <c r="W17" s="48"/>
    </row>
    <row r="18" spans="2:23" ht="15" customHeight="1" thickBot="1" x14ac:dyDescent="0.3">
      <c r="B18" s="379" t="s">
        <v>13</v>
      </c>
      <c r="C18" s="380"/>
      <c r="D18" s="48"/>
      <c r="E18" s="374"/>
      <c r="F18" s="216" t="s">
        <v>102</v>
      </c>
      <c r="G18" s="217">
        <v>8.4190000000000005</v>
      </c>
      <c r="H18" s="218">
        <v>13.073</v>
      </c>
      <c r="I18" s="216" t="s">
        <v>101</v>
      </c>
      <c r="J18" s="217">
        <v>8.4139999999999997</v>
      </c>
      <c r="K18" s="218">
        <v>13.629</v>
      </c>
      <c r="L18" s="216" t="s">
        <v>104</v>
      </c>
      <c r="M18" s="217">
        <v>8.4120000000000008</v>
      </c>
      <c r="N18" s="218">
        <v>13.173</v>
      </c>
      <c r="O18" s="216" t="s">
        <v>102</v>
      </c>
      <c r="P18" s="217">
        <v>8.4190000000000005</v>
      </c>
      <c r="Q18" s="218">
        <v>13.859</v>
      </c>
      <c r="R18" s="48"/>
      <c r="S18" s="283"/>
      <c r="T18" s="48"/>
      <c r="U18" s="48"/>
      <c r="V18" s="48"/>
      <c r="W18" s="48"/>
    </row>
    <row r="19" spans="2:23" ht="15" customHeight="1" thickBot="1" x14ac:dyDescent="0.3">
      <c r="B19" s="80" t="s">
        <v>105</v>
      </c>
      <c r="C19" s="77">
        <f>'Correction Factors'!Q31</f>
        <v>0.73670714257495806</v>
      </c>
      <c r="D19" s="48"/>
      <c r="E19" s="375"/>
      <c r="F19" s="219" t="s">
        <v>101</v>
      </c>
      <c r="G19" s="220">
        <v>8.4139999999999997</v>
      </c>
      <c r="H19" s="221">
        <v>13.054</v>
      </c>
      <c r="I19" s="219" t="s">
        <v>102</v>
      </c>
      <c r="J19" s="220">
        <v>8.4190000000000005</v>
      </c>
      <c r="K19" s="221">
        <v>13.603</v>
      </c>
      <c r="L19" s="219" t="s">
        <v>103</v>
      </c>
      <c r="M19" s="220">
        <v>8.4149999999999991</v>
      </c>
      <c r="N19" s="221">
        <v>13.183</v>
      </c>
      <c r="O19" s="219" t="s">
        <v>101</v>
      </c>
      <c r="P19" s="220">
        <v>8.4139999999999997</v>
      </c>
      <c r="Q19" s="221">
        <v>13.967000000000001</v>
      </c>
      <c r="R19" s="48"/>
      <c r="S19" s="283"/>
      <c r="T19" s="48"/>
      <c r="U19" s="48"/>
      <c r="V19" s="48"/>
      <c r="W19" s="48"/>
    </row>
    <row r="20" spans="2:23" ht="15" customHeight="1" thickBot="1" x14ac:dyDescent="0.3">
      <c r="B20" s="81" t="s">
        <v>106</v>
      </c>
      <c r="C20" s="79">
        <f>'Correction Factors'!Q32</f>
        <v>5.8873255758079723E-2</v>
      </c>
      <c r="D20" s="48"/>
      <c r="E20" s="373" t="s">
        <v>107</v>
      </c>
      <c r="F20" s="290" t="s">
        <v>104</v>
      </c>
      <c r="G20" s="215">
        <v>8.4120000000000008</v>
      </c>
      <c r="H20" s="291">
        <v>11.817</v>
      </c>
      <c r="I20" s="290" t="s">
        <v>102</v>
      </c>
      <c r="J20" s="215">
        <v>8.4149999999999991</v>
      </c>
      <c r="K20" s="291">
        <v>12.27</v>
      </c>
      <c r="L20" s="290" t="s">
        <v>101</v>
      </c>
      <c r="M20" s="215">
        <v>8.4120000000000008</v>
      </c>
      <c r="N20" s="291">
        <v>12.07</v>
      </c>
      <c r="O20" s="290" t="s">
        <v>102</v>
      </c>
      <c r="P20" s="215">
        <v>8.4149999999999991</v>
      </c>
      <c r="Q20" s="291">
        <v>12.552</v>
      </c>
      <c r="R20" s="48"/>
      <c r="S20" s="283"/>
      <c r="T20" s="48"/>
      <c r="U20" s="48"/>
      <c r="V20" s="48"/>
      <c r="W20" s="48"/>
    </row>
    <row r="21" spans="2:23" ht="15" customHeight="1" x14ac:dyDescent="0.2">
      <c r="B21" s="48"/>
      <c r="C21" s="48" t="s">
        <v>108</v>
      </c>
      <c r="D21" s="48"/>
      <c r="E21" s="374"/>
      <c r="F21" s="216" t="s">
        <v>103</v>
      </c>
      <c r="G21" s="217">
        <v>8.4149999999999991</v>
      </c>
      <c r="H21" s="218">
        <v>11.776999999999999</v>
      </c>
      <c r="I21" s="216" t="s">
        <v>101</v>
      </c>
      <c r="J21" s="217">
        <v>8.4120000000000008</v>
      </c>
      <c r="K21" s="218">
        <v>12.253</v>
      </c>
      <c r="L21" s="216" t="s">
        <v>102</v>
      </c>
      <c r="M21" s="217">
        <v>8.4149999999999991</v>
      </c>
      <c r="N21" s="218">
        <v>11.961</v>
      </c>
      <c r="O21" s="216" t="s">
        <v>101</v>
      </c>
      <c r="P21" s="217">
        <v>8.4120000000000008</v>
      </c>
      <c r="Q21" s="218">
        <v>12.579000000000001</v>
      </c>
      <c r="R21" s="48"/>
      <c r="S21" s="283"/>
      <c r="T21" s="48"/>
      <c r="U21" s="48"/>
      <c r="V21" s="48"/>
      <c r="W21" s="48"/>
    </row>
    <row r="22" spans="2:23" ht="15" customHeight="1" thickBot="1" x14ac:dyDescent="0.25">
      <c r="B22" s="48"/>
      <c r="C22" s="48"/>
      <c r="D22" s="48"/>
      <c r="E22" s="375"/>
      <c r="F22" s="219" t="s">
        <v>104</v>
      </c>
      <c r="G22" s="220">
        <v>8.4120000000000008</v>
      </c>
      <c r="H22" s="221">
        <v>11.77</v>
      </c>
      <c r="I22" s="219" t="s">
        <v>102</v>
      </c>
      <c r="J22" s="220">
        <v>8.4149999999999991</v>
      </c>
      <c r="K22" s="222">
        <v>12.284000000000001</v>
      </c>
      <c r="L22" s="223" t="s">
        <v>101</v>
      </c>
      <c r="M22" s="224">
        <v>8.4120000000000008</v>
      </c>
      <c r="N22" s="222">
        <v>12.092000000000001</v>
      </c>
      <c r="O22" s="223" t="s">
        <v>102</v>
      </c>
      <c r="P22" s="224">
        <v>8.4149999999999991</v>
      </c>
      <c r="Q22" s="221">
        <v>12.577999999999999</v>
      </c>
      <c r="R22" s="48"/>
      <c r="S22" s="283"/>
      <c r="T22" s="48"/>
      <c r="U22" s="48"/>
      <c r="V22" s="48"/>
      <c r="W22" s="48"/>
    </row>
    <row r="23" spans="2:23" ht="15" customHeight="1" x14ac:dyDescent="0.2">
      <c r="B23" s="31" t="s">
        <v>73</v>
      </c>
      <c r="C23" s="32"/>
      <c r="D23" s="48"/>
      <c r="E23" s="373" t="s">
        <v>109</v>
      </c>
      <c r="F23" s="290" t="s">
        <v>101</v>
      </c>
      <c r="G23" s="215">
        <v>8.4139999999999997</v>
      </c>
      <c r="H23" s="291">
        <v>10.996</v>
      </c>
      <c r="I23" s="290" t="s">
        <v>102</v>
      </c>
      <c r="J23" s="215">
        <v>8.4190000000000005</v>
      </c>
      <c r="K23" s="291">
        <v>11.395</v>
      </c>
      <c r="L23" s="290" t="s">
        <v>101</v>
      </c>
      <c r="M23" s="215">
        <v>8.4139999999999997</v>
      </c>
      <c r="N23" s="291">
        <v>11.092000000000001</v>
      </c>
      <c r="O23" s="290" t="s">
        <v>102</v>
      </c>
      <c r="P23" s="215">
        <v>8.4190000000000005</v>
      </c>
      <c r="Q23" s="291">
        <v>11.667999999999999</v>
      </c>
      <c r="R23" s="48"/>
      <c r="S23" s="283"/>
      <c r="T23" s="48"/>
      <c r="U23" s="48"/>
      <c r="V23" s="48"/>
      <c r="W23" s="48"/>
    </row>
    <row r="24" spans="2:23" ht="15" customHeight="1" x14ac:dyDescent="0.2">
      <c r="B24" s="33" t="s">
        <v>76</v>
      </c>
      <c r="C24" s="213" t="s">
        <v>77</v>
      </c>
      <c r="D24" s="48"/>
      <c r="E24" s="374"/>
      <c r="F24" s="216" t="s">
        <v>102</v>
      </c>
      <c r="G24" s="217">
        <v>8.4190000000000005</v>
      </c>
      <c r="H24" s="218">
        <v>10.965</v>
      </c>
      <c r="I24" s="216" t="s">
        <v>101</v>
      </c>
      <c r="J24" s="217">
        <v>8.4139999999999997</v>
      </c>
      <c r="K24" s="218">
        <v>11.412000000000001</v>
      </c>
      <c r="L24" s="216" t="s">
        <v>102</v>
      </c>
      <c r="M24" s="217">
        <v>8.4190000000000005</v>
      </c>
      <c r="N24" s="218">
        <v>11.164999999999999</v>
      </c>
      <c r="O24" s="216" t="s">
        <v>101</v>
      </c>
      <c r="P24" s="217">
        <v>8.4139999999999997</v>
      </c>
      <c r="Q24" s="218">
        <v>11.679</v>
      </c>
      <c r="R24" s="48"/>
      <c r="S24" s="283"/>
      <c r="T24" s="48"/>
      <c r="U24" s="48"/>
      <c r="V24" s="48"/>
      <c r="W24" s="48"/>
    </row>
    <row r="25" spans="2:23" ht="15" customHeight="1" thickBot="1" x14ac:dyDescent="0.25">
      <c r="B25" s="33" t="s">
        <v>80</v>
      </c>
      <c r="C25" s="205" t="s">
        <v>110</v>
      </c>
      <c r="D25" s="48"/>
      <c r="E25" s="375"/>
      <c r="F25" s="223" t="s">
        <v>101</v>
      </c>
      <c r="G25" s="224">
        <v>8.4139999999999997</v>
      </c>
      <c r="H25" s="222">
        <v>10.977</v>
      </c>
      <c r="I25" s="219" t="s">
        <v>102</v>
      </c>
      <c r="J25" s="220">
        <v>8.4190000000000005</v>
      </c>
      <c r="K25" s="221">
        <v>11.419</v>
      </c>
      <c r="L25" s="219" t="s">
        <v>101</v>
      </c>
      <c r="M25" s="220">
        <v>8.4139999999999997</v>
      </c>
      <c r="N25" s="221">
        <v>11.185</v>
      </c>
      <c r="O25" s="219" t="s">
        <v>102</v>
      </c>
      <c r="P25" s="220">
        <v>8.4190000000000005</v>
      </c>
      <c r="Q25" s="221">
        <v>11.743</v>
      </c>
      <c r="R25" s="48"/>
      <c r="S25" s="283"/>
      <c r="T25" s="48"/>
      <c r="U25" s="48"/>
      <c r="V25" s="48"/>
      <c r="W25" s="48"/>
    </row>
    <row r="26" spans="2:23" ht="15" customHeight="1" thickBot="1" x14ac:dyDescent="0.25">
      <c r="B26" s="36" t="s">
        <v>82</v>
      </c>
      <c r="C26" s="214" t="s">
        <v>111</v>
      </c>
      <c r="D26" s="48"/>
      <c r="E26" s="373" t="s">
        <v>112</v>
      </c>
      <c r="F26" s="290" t="s">
        <v>102</v>
      </c>
      <c r="G26" s="215">
        <v>8.4149999999999991</v>
      </c>
      <c r="H26" s="291">
        <v>10.593999999999999</v>
      </c>
      <c r="I26" s="290" t="s">
        <v>101</v>
      </c>
      <c r="J26" s="215">
        <v>8.41</v>
      </c>
      <c r="K26" s="291">
        <v>11.039</v>
      </c>
      <c r="L26" s="290" t="s">
        <v>101</v>
      </c>
      <c r="M26" s="215">
        <v>8.4120000000000008</v>
      </c>
      <c r="N26" s="291">
        <v>10.814</v>
      </c>
      <c r="O26" s="290" t="s">
        <v>101</v>
      </c>
      <c r="P26" s="215">
        <v>8.4120000000000008</v>
      </c>
      <c r="Q26" s="291">
        <v>11.286</v>
      </c>
      <c r="R26" s="48"/>
      <c r="S26" s="283"/>
      <c r="T26" s="48"/>
      <c r="U26" s="48"/>
      <c r="V26" s="48"/>
      <c r="W26" s="48"/>
    </row>
    <row r="27" spans="2:23" ht="15" customHeight="1" x14ac:dyDescent="0.2">
      <c r="B27" s="48"/>
      <c r="C27" s="48"/>
      <c r="D27" s="48"/>
      <c r="E27" s="374"/>
      <c r="F27" s="216" t="s">
        <v>101</v>
      </c>
      <c r="G27" s="217">
        <v>8.41</v>
      </c>
      <c r="H27" s="218">
        <v>10.573</v>
      </c>
      <c r="I27" s="216" t="s">
        <v>102</v>
      </c>
      <c r="J27" s="217">
        <v>8.4109999999999996</v>
      </c>
      <c r="K27" s="218">
        <v>11.019</v>
      </c>
      <c r="L27" s="216" t="s">
        <v>102</v>
      </c>
      <c r="M27" s="217">
        <v>8.4149999999999991</v>
      </c>
      <c r="N27" s="218">
        <v>10.852</v>
      </c>
      <c r="O27" s="216" t="s">
        <v>102</v>
      </c>
      <c r="P27" s="217">
        <v>8.4149999999999991</v>
      </c>
      <c r="Q27" s="218">
        <v>11.269</v>
      </c>
      <c r="R27" s="48"/>
      <c r="S27" s="283"/>
      <c r="T27" s="48"/>
      <c r="U27" s="48"/>
      <c r="V27" s="48"/>
      <c r="W27" s="48"/>
    </row>
    <row r="28" spans="2:23" ht="15" customHeight="1" thickBot="1" x14ac:dyDescent="0.25">
      <c r="B28" s="48"/>
      <c r="C28" s="48"/>
      <c r="D28" s="48"/>
      <c r="E28" s="375"/>
      <c r="F28" s="223" t="s">
        <v>102</v>
      </c>
      <c r="G28" s="224">
        <v>8.4109999999999996</v>
      </c>
      <c r="H28" s="222">
        <v>10.622999999999999</v>
      </c>
      <c r="I28" s="223" t="s">
        <v>101</v>
      </c>
      <c r="J28" s="224">
        <v>8.41</v>
      </c>
      <c r="K28" s="221">
        <v>11.012</v>
      </c>
      <c r="L28" s="223" t="s">
        <v>101</v>
      </c>
      <c r="M28" s="224">
        <v>8.4120000000000008</v>
      </c>
      <c r="N28" s="222">
        <v>10.811</v>
      </c>
      <c r="O28" s="219" t="s">
        <v>101</v>
      </c>
      <c r="P28" s="220">
        <v>8.4120000000000008</v>
      </c>
      <c r="Q28" s="221">
        <v>11.297000000000001</v>
      </c>
      <c r="R28" s="48"/>
      <c r="S28" s="283"/>
      <c r="T28" s="48"/>
      <c r="U28" s="48"/>
      <c r="V28" s="48"/>
      <c r="W28" s="48"/>
    </row>
    <row r="29" spans="2:23" ht="15" customHeight="1" x14ac:dyDescent="0.2">
      <c r="B29" s="48"/>
      <c r="C29" s="48"/>
      <c r="D29" s="48"/>
      <c r="E29" s="373" t="s">
        <v>113</v>
      </c>
      <c r="F29" s="290" t="s">
        <v>102</v>
      </c>
      <c r="G29" s="215">
        <v>8.4109999999999996</v>
      </c>
      <c r="H29" s="291">
        <v>10.413</v>
      </c>
      <c r="I29" s="290" t="s">
        <v>101</v>
      </c>
      <c r="J29" s="215">
        <v>8.41</v>
      </c>
      <c r="K29" s="291">
        <v>10.765000000000001</v>
      </c>
      <c r="L29" s="290" t="s">
        <v>102</v>
      </c>
      <c r="M29" s="215">
        <v>8.4109999999999996</v>
      </c>
      <c r="N29" s="291">
        <v>10.576000000000001</v>
      </c>
      <c r="O29" s="290" t="s">
        <v>101</v>
      </c>
      <c r="P29" s="215">
        <v>8.41</v>
      </c>
      <c r="Q29" s="291">
        <v>10.968</v>
      </c>
      <c r="R29" s="48"/>
      <c r="S29" s="283"/>
      <c r="T29" s="48"/>
      <c r="U29" s="48"/>
      <c r="V29" s="48"/>
      <c r="W29" s="48"/>
    </row>
    <row r="30" spans="2:23" ht="15" customHeight="1" x14ac:dyDescent="0.2">
      <c r="B30" s="48"/>
      <c r="C30" s="48"/>
      <c r="D30" s="48"/>
      <c r="E30" s="374"/>
      <c r="F30" s="216" t="s">
        <v>101</v>
      </c>
      <c r="G30" s="217">
        <v>8.41</v>
      </c>
      <c r="H30" s="218">
        <v>10.388</v>
      </c>
      <c r="I30" s="216" t="s">
        <v>102</v>
      </c>
      <c r="J30" s="217">
        <v>8.4109999999999996</v>
      </c>
      <c r="K30" s="218">
        <v>10.742000000000001</v>
      </c>
      <c r="L30" s="216" t="s">
        <v>101</v>
      </c>
      <c r="M30" s="217">
        <v>8.41</v>
      </c>
      <c r="N30" s="218">
        <v>10.555</v>
      </c>
      <c r="O30" s="216" t="s">
        <v>102</v>
      </c>
      <c r="P30" s="217">
        <v>8.4109999999999996</v>
      </c>
      <c r="Q30" s="218">
        <v>10.974</v>
      </c>
      <c r="R30" s="48"/>
      <c r="S30" s="283"/>
      <c r="T30" s="48"/>
      <c r="U30" s="48"/>
      <c r="V30" s="48"/>
      <c r="W30" s="48"/>
    </row>
    <row r="31" spans="2:23" ht="15" customHeight="1" thickBot="1" x14ac:dyDescent="0.25">
      <c r="B31" s="48"/>
      <c r="C31" s="48"/>
      <c r="D31" s="48"/>
      <c r="E31" s="375"/>
      <c r="F31" s="223" t="s">
        <v>102</v>
      </c>
      <c r="G31" s="224">
        <v>8.4109999999999996</v>
      </c>
      <c r="H31" s="222">
        <v>10.411</v>
      </c>
      <c r="I31" s="223" t="s">
        <v>101</v>
      </c>
      <c r="J31" s="224">
        <v>8.41</v>
      </c>
      <c r="K31" s="222">
        <v>10.76</v>
      </c>
      <c r="L31" s="223" t="s">
        <v>102</v>
      </c>
      <c r="M31" s="224">
        <v>8.4109999999999996</v>
      </c>
      <c r="N31" s="222">
        <v>10.561999999999999</v>
      </c>
      <c r="O31" s="223" t="s">
        <v>101</v>
      </c>
      <c r="P31" s="224">
        <v>8.41</v>
      </c>
      <c r="Q31" s="222">
        <v>10.98</v>
      </c>
      <c r="R31" s="48"/>
      <c r="S31" s="283"/>
      <c r="T31" s="48"/>
      <c r="U31" s="48"/>
      <c r="V31" s="48"/>
      <c r="W31" s="48"/>
    </row>
    <row r="32" spans="2:23" ht="15" customHeight="1" x14ac:dyDescent="0.2">
      <c r="B32" s="48"/>
      <c r="C32" s="48"/>
      <c r="D32" s="48"/>
      <c r="E32" s="48"/>
      <c r="F32" s="48"/>
      <c r="G32" s="48"/>
      <c r="H32" s="48"/>
      <c r="I32" s="48"/>
      <c r="J32" s="48"/>
      <c r="K32" s="48"/>
      <c r="L32" s="48"/>
      <c r="M32" s="48"/>
      <c r="N32" s="48"/>
      <c r="O32" s="48"/>
      <c r="S32" s="170"/>
    </row>
    <row r="33" spans="1:19" ht="15" customHeight="1" x14ac:dyDescent="0.2">
      <c r="A33" s="48"/>
      <c r="B33" s="48"/>
      <c r="C33" s="48"/>
      <c r="D33" s="48"/>
      <c r="E33" s="48"/>
      <c r="F33" s="48" t="s">
        <v>114</v>
      </c>
      <c r="G33" s="48"/>
      <c r="H33" s="48"/>
      <c r="I33" s="48"/>
      <c r="J33" s="48"/>
      <c r="K33" s="48"/>
      <c r="L33" s="48"/>
      <c r="M33" s="48"/>
      <c r="N33" s="48"/>
      <c r="O33" s="48"/>
      <c r="S33" s="170"/>
    </row>
    <row r="34" spans="1:19" ht="15" customHeight="1" x14ac:dyDescent="0.2">
      <c r="A34" s="48"/>
      <c r="B34" s="48"/>
      <c r="C34" s="48"/>
      <c r="D34" s="48"/>
      <c r="E34" s="48"/>
      <c r="F34" s="48" t="s">
        <v>115</v>
      </c>
      <c r="G34" s="48"/>
      <c r="H34" s="48"/>
      <c r="I34" s="48"/>
      <c r="J34" s="48"/>
      <c r="K34" s="48"/>
      <c r="L34" s="48"/>
      <c r="M34" s="48"/>
      <c r="N34" s="48"/>
      <c r="O34" s="48"/>
      <c r="P34" s="48"/>
      <c r="Q34" s="48"/>
      <c r="R34" s="48"/>
      <c r="S34" s="170"/>
    </row>
    <row r="35" spans="1:19" ht="15" customHeight="1" x14ac:dyDescent="0.2">
      <c r="A35" s="48"/>
      <c r="B35" s="48"/>
      <c r="C35" s="48"/>
      <c r="D35" s="48"/>
      <c r="E35" s="48"/>
      <c r="F35" s="48"/>
      <c r="G35" s="48"/>
      <c r="H35" s="48"/>
      <c r="I35" s="48"/>
      <c r="J35" s="48"/>
      <c r="K35" s="48"/>
      <c r="L35" s="48"/>
      <c r="M35" s="48"/>
      <c r="N35" s="48"/>
      <c r="O35" s="292"/>
      <c r="P35" s="292"/>
      <c r="Q35" s="292"/>
      <c r="R35" s="292"/>
      <c r="S35" s="170"/>
    </row>
    <row r="36" spans="1:19" ht="15" customHeight="1" x14ac:dyDescent="0.2">
      <c r="A36" s="283"/>
      <c r="B36" s="283"/>
      <c r="C36" s="283"/>
      <c r="D36" s="283"/>
      <c r="E36" s="283"/>
      <c r="F36" s="283"/>
      <c r="G36" s="283"/>
      <c r="H36" s="283"/>
      <c r="I36" s="283"/>
      <c r="J36" s="283"/>
      <c r="K36" s="283"/>
      <c r="L36" s="283"/>
      <c r="M36" s="283"/>
      <c r="N36" s="283"/>
      <c r="O36" s="293"/>
      <c r="P36" s="293"/>
      <c r="Q36" s="293"/>
      <c r="R36" s="293"/>
      <c r="S36" s="170"/>
    </row>
    <row r="37" spans="1:19" ht="15" customHeight="1" x14ac:dyDescent="0.2">
      <c r="A37" s="48"/>
      <c r="B37" s="48"/>
      <c r="C37" s="294"/>
      <c r="D37" s="48"/>
      <c r="E37" s="48"/>
      <c r="F37" s="48"/>
      <c r="G37" s="48"/>
      <c r="H37" s="48"/>
      <c r="I37" s="48"/>
      <c r="J37" s="48"/>
      <c r="K37" s="48"/>
      <c r="L37" s="48"/>
      <c r="M37" s="48"/>
      <c r="N37" s="48"/>
      <c r="O37" s="292"/>
      <c r="P37" s="292"/>
      <c r="Q37" s="292"/>
      <c r="R37" s="292"/>
    </row>
  </sheetData>
  <sheetProtection algorithmName="SHA-512" hashValue="xwu8lsKhe2r+jyONHMfh0S5KKyaBCVmbLwn8qBj3ZUPwdIpAsEGDhg+ecLr5uNoRgAZpaiwjC2QFputofD/C5w==" saltValue="zcuP+AzGyL3rJ5McT2GAMA==" spinCount="100000" sheet="1" selectLockedCells="1"/>
  <mergeCells count="21">
    <mergeCell ref="M4:O4"/>
    <mergeCell ref="B3:C3"/>
    <mergeCell ref="B4:C4"/>
    <mergeCell ref="B5:C5"/>
    <mergeCell ref="B6:C6"/>
    <mergeCell ref="D3:K3"/>
    <mergeCell ref="D4:K4"/>
    <mergeCell ref="D5:K5"/>
    <mergeCell ref="D6:K6"/>
    <mergeCell ref="B2:K2"/>
    <mergeCell ref="E29:E31"/>
    <mergeCell ref="E14:E16"/>
    <mergeCell ref="E17:E19"/>
    <mergeCell ref="E20:E22"/>
    <mergeCell ref="E23:E25"/>
    <mergeCell ref="E26:E28"/>
    <mergeCell ref="B18:C18"/>
    <mergeCell ref="B7:C7"/>
    <mergeCell ref="B8:C8"/>
    <mergeCell ref="D7:K7"/>
    <mergeCell ref="D8:K8"/>
  </mergeCells>
  <hyperlinks>
    <hyperlink ref="M4" location="Instructions!C35" display="Back to Instructions tab" xr:uid="{00000000-0004-0000-0200-000000000000}"/>
  </hyperlink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1"/>
  <sheetViews>
    <sheetView showGridLines="0" zoomScale="80" zoomScaleNormal="80" workbookViewId="0">
      <selection activeCell="E3" sqref="E3"/>
    </sheetView>
  </sheetViews>
  <sheetFormatPr defaultColWidth="9.140625" defaultRowHeight="16.5" x14ac:dyDescent="0.3"/>
  <cols>
    <col min="1" max="1" width="4.28515625" style="128" customWidth="1"/>
    <col min="2" max="2" width="28.28515625" style="128" customWidth="1"/>
    <col min="3" max="3" width="54.28515625" style="128" customWidth="1"/>
    <col min="4" max="4" width="22.140625" style="128" customWidth="1"/>
    <col min="5" max="5" width="30.140625" style="128" customWidth="1"/>
    <col min="6" max="6" width="3.85546875" style="128" customWidth="1"/>
    <col min="7" max="7" width="4" style="128" customWidth="1"/>
    <col min="8" max="16384" width="9.140625" style="128"/>
  </cols>
  <sheetData>
    <row r="1" spans="2:7" ht="17.25" thickBot="1" x14ac:dyDescent="0.35">
      <c r="G1" s="107"/>
    </row>
    <row r="2" spans="2:7" ht="18" thickBot="1" x14ac:dyDescent="0.35">
      <c r="B2" s="317" t="str">
        <f>'Version Control'!B2:C2</f>
        <v>Title Block</v>
      </c>
      <c r="C2" s="318"/>
      <c r="G2" s="107"/>
    </row>
    <row r="3" spans="2:7" x14ac:dyDescent="0.3">
      <c r="B3" s="97" t="str">
        <f>'Version Control'!B3</f>
        <v>Test Report Template Name:</v>
      </c>
      <c r="C3" s="98" t="str">
        <f>'Version Control'!C3</f>
        <v xml:space="preserve">Test Cloth Correction Factors </v>
      </c>
      <c r="E3" s="158" t="s">
        <v>39</v>
      </c>
      <c r="G3" s="107"/>
    </row>
    <row r="4" spans="2:7" x14ac:dyDescent="0.3">
      <c r="B4" s="101" t="str">
        <f>'Version Control'!B4</f>
        <v>Version Number:</v>
      </c>
      <c r="C4" s="102" t="str">
        <f>'Version Control'!C4</f>
        <v>v2.3</v>
      </c>
      <c r="G4" s="107"/>
    </row>
    <row r="5" spans="2:7" x14ac:dyDescent="0.3">
      <c r="B5" s="103" t="str">
        <f>'Version Control'!B5</f>
        <v xml:space="preserve">Latest Template Revision: </v>
      </c>
      <c r="C5" s="104">
        <f>'Version Control'!C5</f>
        <v>44755</v>
      </c>
      <c r="G5" s="107"/>
    </row>
    <row r="6" spans="2:7" x14ac:dyDescent="0.3">
      <c r="B6" s="103" t="str">
        <f>'Version Control'!B6</f>
        <v>Tab Name:</v>
      </c>
      <c r="C6" s="102" t="str">
        <f ca="1">MID(CELL("filename",A1), FIND("]", CELL("filename", A1))+ 1, 255)</f>
        <v>Report Sign-Off Block</v>
      </c>
      <c r="G6" s="107"/>
    </row>
    <row r="7" spans="2:7" ht="30" customHeight="1" x14ac:dyDescent="0.3">
      <c r="B7" s="159" t="str">
        <f>'Version Control'!B7</f>
        <v>File Name:</v>
      </c>
      <c r="C7" s="160" t="str">
        <f ca="1">'Version Control'!C7</f>
        <v>Lot AATCC 3345_correction_factor.xlsx</v>
      </c>
      <c r="G7" s="107"/>
    </row>
    <row r="8" spans="2:7" ht="17.25" thickBot="1" x14ac:dyDescent="0.35">
      <c r="B8" s="161" t="str">
        <f>'Version Control'!B8</f>
        <v xml:space="preserve">Test Completion Date: </v>
      </c>
      <c r="C8" s="162" t="str">
        <f>'Version Control'!C8</f>
        <v>10/16/2023-10/27/2023</v>
      </c>
      <c r="G8" s="107"/>
    </row>
    <row r="9" spans="2:7" x14ac:dyDescent="0.3">
      <c r="G9" s="107"/>
    </row>
    <row r="10" spans="2:7" ht="17.25" thickBot="1" x14ac:dyDescent="0.35">
      <c r="G10" s="107"/>
    </row>
    <row r="11" spans="2:7" ht="18" thickBot="1" x14ac:dyDescent="0.35">
      <c r="B11" s="317" t="s">
        <v>116</v>
      </c>
      <c r="C11" s="354"/>
      <c r="D11" s="354"/>
      <c r="E11" s="318"/>
      <c r="G11" s="107"/>
    </row>
    <row r="12" spans="2:7" x14ac:dyDescent="0.3">
      <c r="B12" s="390" t="s">
        <v>117</v>
      </c>
      <c r="C12" s="391"/>
      <c r="D12" s="391"/>
      <c r="E12" s="392"/>
      <c r="G12" s="107"/>
    </row>
    <row r="13" spans="2:7" x14ac:dyDescent="0.3">
      <c r="B13" s="393"/>
      <c r="C13" s="394"/>
      <c r="D13" s="394"/>
      <c r="E13" s="395"/>
      <c r="G13" s="107"/>
    </row>
    <row r="14" spans="2:7" ht="17.25" thickBot="1" x14ac:dyDescent="0.35">
      <c r="B14" s="396"/>
      <c r="C14" s="397"/>
      <c r="D14" s="397"/>
      <c r="E14" s="398"/>
      <c r="G14" s="107"/>
    </row>
    <row r="15" spans="2:7" ht="17.25" x14ac:dyDescent="0.3">
      <c r="B15" s="399" t="s">
        <v>118</v>
      </c>
      <c r="C15" s="400"/>
      <c r="D15" s="163" t="s">
        <v>119</v>
      </c>
      <c r="E15" s="109" t="s">
        <v>120</v>
      </c>
      <c r="G15" s="107"/>
    </row>
    <row r="16" spans="2:7" x14ac:dyDescent="0.3">
      <c r="B16" s="401" t="s">
        <v>121</v>
      </c>
      <c r="C16" s="402"/>
      <c r="D16" s="174" t="str">
        <f>'Material Verification'!C18</f>
        <v>10/9/2023-10/11/2023</v>
      </c>
      <c r="E16" s="164" t="s">
        <v>83</v>
      </c>
      <c r="G16" s="107"/>
    </row>
    <row r="17" spans="1:7" x14ac:dyDescent="0.3">
      <c r="B17" s="165" t="s">
        <v>122</v>
      </c>
      <c r="C17" s="166"/>
      <c r="D17" s="174" t="str">
        <f>'Extractor Tests Raw Data'!C25</f>
        <v>10/16/2023-10/27/2023</v>
      </c>
      <c r="E17" s="164" t="s">
        <v>83</v>
      </c>
      <c r="G17" s="107"/>
    </row>
    <row r="18" spans="1:7" x14ac:dyDescent="0.3">
      <c r="B18" s="165" t="s">
        <v>123</v>
      </c>
      <c r="C18" s="166"/>
      <c r="D18" s="167">
        <v>45229</v>
      </c>
      <c r="E18" s="164" t="s">
        <v>83</v>
      </c>
      <c r="G18" s="107"/>
    </row>
    <row r="19" spans="1:7" ht="17.25" thickBot="1" x14ac:dyDescent="0.35">
      <c r="B19" s="274" t="s">
        <v>124</v>
      </c>
      <c r="C19" s="275"/>
      <c r="D19" s="168">
        <v>45229</v>
      </c>
      <c r="E19" s="276" t="s">
        <v>83</v>
      </c>
      <c r="G19" s="107"/>
    </row>
    <row r="20" spans="1:7" x14ac:dyDescent="0.3">
      <c r="G20" s="107"/>
    </row>
    <row r="21" spans="1:7" x14ac:dyDescent="0.3">
      <c r="A21" s="107"/>
      <c r="B21" s="107"/>
      <c r="C21" s="107"/>
      <c r="D21" s="107"/>
      <c r="E21" s="107"/>
      <c r="F21" s="107"/>
      <c r="G21" s="107"/>
    </row>
  </sheetData>
  <sheetProtection algorithmName="SHA-512" hashValue="3Al3L64YLt/6YMdvuHHyJL7sXKkQ171E4PdOZOeQVLnbX488HDrRd+mfdAvBGqlQCiGAmU+H797if31umU7L7g==" saltValue="o40pHQqRQ2NofJg+pqJeEg=="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tabSelected="1" zoomScale="80" zoomScaleNormal="80" zoomScalePageLayoutView="90" workbookViewId="0">
      <selection activeCell="B11" sqref="B11:C11"/>
    </sheetView>
  </sheetViews>
  <sheetFormatPr defaultColWidth="9.140625" defaultRowHeight="12.75" x14ac:dyDescent="0.2"/>
  <cols>
    <col min="1" max="1" width="2.28515625" style="3" customWidth="1"/>
    <col min="2" max="2" width="11.28515625" style="3" customWidth="1"/>
    <col min="3" max="10" width="9.7109375" style="3" customWidth="1"/>
    <col min="11" max="11" width="9.140625" style="3"/>
    <col min="12" max="13" width="8.85546875" customWidth="1"/>
    <col min="14" max="14" width="7.28515625" style="3" customWidth="1"/>
    <col min="15" max="15" width="5.5703125" style="3" customWidth="1"/>
    <col min="16" max="16" width="7.140625" style="3" customWidth="1"/>
    <col min="17" max="17" width="10.28515625" style="3" customWidth="1"/>
    <col min="18" max="18" width="10.7109375" style="3" customWidth="1"/>
    <col min="19" max="19" width="7.85546875" style="3" customWidth="1"/>
    <col min="20" max="20" width="3.28515625" customWidth="1"/>
    <col min="21" max="26" width="8.85546875" customWidth="1"/>
    <col min="27" max="16384" width="9.140625" style="3"/>
  </cols>
  <sheetData>
    <row r="1" spans="2:24" ht="18" x14ac:dyDescent="0.25">
      <c r="B1" s="50" t="s">
        <v>125</v>
      </c>
      <c r="C1" s="48"/>
      <c r="D1" s="48"/>
      <c r="E1" s="48"/>
      <c r="F1" s="48"/>
      <c r="G1" s="48"/>
      <c r="H1" s="48"/>
      <c r="I1" s="48"/>
      <c r="J1" s="48"/>
      <c r="K1" s="48"/>
      <c r="N1" s="48"/>
      <c r="O1" s="48"/>
      <c r="P1" s="48"/>
      <c r="Q1" s="48"/>
      <c r="R1" s="48"/>
      <c r="S1" s="48"/>
      <c r="T1" s="170"/>
    </row>
    <row r="2" spans="2:24" x14ac:dyDescent="0.2">
      <c r="B2" s="48" t="s">
        <v>126</v>
      </c>
      <c r="C2" s="48"/>
      <c r="D2" s="48"/>
      <c r="E2" s="48"/>
      <c r="F2" s="48"/>
      <c r="G2" s="48"/>
      <c r="H2" s="48"/>
      <c r="I2" s="48"/>
      <c r="J2" s="48"/>
      <c r="K2" s="48"/>
      <c r="N2" s="48"/>
      <c r="O2" s="48"/>
      <c r="P2" s="48"/>
      <c r="Q2" s="48"/>
      <c r="R2" s="48"/>
      <c r="S2" s="48"/>
      <c r="T2" s="170"/>
    </row>
    <row r="3" spans="2:24" ht="13.5" thickBot="1" x14ac:dyDescent="0.25">
      <c r="B3" s="48"/>
      <c r="C3" s="48"/>
      <c r="D3" s="48"/>
      <c r="E3" s="48"/>
      <c r="F3" s="48"/>
      <c r="G3" s="48"/>
      <c r="H3" s="48"/>
      <c r="I3" s="48"/>
      <c r="J3" s="48"/>
      <c r="K3" s="48"/>
      <c r="N3" s="48"/>
      <c r="O3" s="48"/>
      <c r="P3" s="48"/>
      <c r="Q3" s="48"/>
      <c r="R3" s="48"/>
      <c r="S3" s="48"/>
      <c r="T3" s="170"/>
    </row>
    <row r="4" spans="2:24" ht="16.5" thickBot="1" x14ac:dyDescent="0.3">
      <c r="B4" s="47" t="s">
        <v>127</v>
      </c>
      <c r="C4" s="295" t="str">
        <f>'Extractor Tests Raw Data'!C14</f>
        <v>Testfabrics  Lot 3345</v>
      </c>
      <c r="D4" s="48"/>
      <c r="E4" s="48"/>
      <c r="F4" s="48"/>
      <c r="G4" s="48"/>
      <c r="H4" s="48"/>
      <c r="I4" s="48"/>
      <c r="J4" s="48"/>
      <c r="K4" s="48"/>
      <c r="N4" s="48"/>
      <c r="O4" s="48"/>
      <c r="P4" s="48"/>
      <c r="Q4" s="48"/>
      <c r="R4" s="48"/>
      <c r="S4" s="48"/>
      <c r="T4" s="170"/>
    </row>
    <row r="5" spans="2:24" x14ac:dyDescent="0.2">
      <c r="B5" s="48"/>
      <c r="C5" s="48"/>
      <c r="D5" s="48"/>
      <c r="E5" s="48"/>
      <c r="F5" s="48"/>
      <c r="G5" s="48"/>
      <c r="H5" s="48"/>
      <c r="I5" s="48"/>
      <c r="J5" s="48"/>
      <c r="K5" s="48"/>
      <c r="N5" s="48"/>
      <c r="O5" s="48"/>
      <c r="P5" s="48"/>
      <c r="Q5" s="48"/>
      <c r="R5" s="48"/>
      <c r="S5" s="48"/>
      <c r="T5" s="170"/>
    </row>
    <row r="6" spans="2:24" ht="13.5" thickBot="1" x14ac:dyDescent="0.25">
      <c r="B6" s="7" t="s">
        <v>128</v>
      </c>
      <c r="C6" s="48"/>
      <c r="D6" s="48"/>
      <c r="E6" s="48"/>
      <c r="F6" s="48"/>
      <c r="G6" s="48"/>
      <c r="H6" s="48"/>
      <c r="I6" s="48"/>
      <c r="J6" s="48"/>
      <c r="K6" s="48"/>
      <c r="N6" s="48"/>
      <c r="O6" s="48"/>
      <c r="P6" s="48"/>
      <c r="Q6" s="48"/>
      <c r="R6" s="48"/>
      <c r="S6" s="48"/>
      <c r="T6" s="170"/>
    </row>
    <row r="7" spans="2:24" ht="28.5" customHeight="1" thickBot="1" x14ac:dyDescent="0.25">
      <c r="B7" s="376" t="s">
        <v>91</v>
      </c>
      <c r="C7" s="411" t="s">
        <v>129</v>
      </c>
      <c r="D7" s="412"/>
      <c r="E7" s="412"/>
      <c r="F7" s="413"/>
      <c r="G7" s="411" t="s">
        <v>130</v>
      </c>
      <c r="H7" s="412"/>
      <c r="I7" s="412"/>
      <c r="J7" s="413"/>
      <c r="K7" s="48"/>
      <c r="N7" s="408" t="s">
        <v>131</v>
      </c>
      <c r="O7" s="409"/>
      <c r="P7" s="410"/>
      <c r="Q7" s="72" t="s">
        <v>132</v>
      </c>
      <c r="R7" s="73" t="s">
        <v>133</v>
      </c>
      <c r="S7" s="48"/>
      <c r="T7" s="170"/>
    </row>
    <row r="8" spans="2:24" ht="15" customHeight="1" thickBot="1" x14ac:dyDescent="0.25">
      <c r="B8" s="377"/>
      <c r="C8" s="52" t="s">
        <v>94</v>
      </c>
      <c r="D8" s="53"/>
      <c r="E8" s="52" t="s">
        <v>95</v>
      </c>
      <c r="F8" s="53"/>
      <c r="G8" s="52" t="s">
        <v>94</v>
      </c>
      <c r="H8" s="53"/>
      <c r="I8" s="52" t="s">
        <v>95</v>
      </c>
      <c r="J8" s="54"/>
      <c r="K8" s="48"/>
      <c r="N8" s="414" t="s">
        <v>134</v>
      </c>
      <c r="O8" s="417" t="s">
        <v>94</v>
      </c>
      <c r="P8" s="296" t="s">
        <v>100</v>
      </c>
      <c r="Q8" s="237">
        <f>D10</f>
        <v>0.55246161214556533</v>
      </c>
      <c r="R8" s="297">
        <f>C31</f>
        <v>0.45900000000000002</v>
      </c>
      <c r="S8" s="48"/>
      <c r="T8" s="170"/>
      <c r="U8" s="48"/>
      <c r="V8" s="48"/>
      <c r="W8" s="48"/>
      <c r="X8" s="48"/>
    </row>
    <row r="9" spans="2:24" ht="15" customHeight="1" thickBot="1" x14ac:dyDescent="0.25">
      <c r="B9" s="378"/>
      <c r="C9" s="58" t="s">
        <v>135</v>
      </c>
      <c r="D9" s="59" t="s">
        <v>136</v>
      </c>
      <c r="E9" s="58" t="s">
        <v>135</v>
      </c>
      <c r="F9" s="59" t="s">
        <v>136</v>
      </c>
      <c r="G9" s="58" t="s">
        <v>135</v>
      </c>
      <c r="H9" s="59" t="s">
        <v>136</v>
      </c>
      <c r="I9" s="288" t="s">
        <v>135</v>
      </c>
      <c r="J9" s="59" t="s">
        <v>136</v>
      </c>
      <c r="K9" s="48"/>
      <c r="N9" s="415"/>
      <c r="O9" s="418"/>
      <c r="P9" s="74" t="s">
        <v>107</v>
      </c>
      <c r="Q9" s="238">
        <f>D13</f>
        <v>0.40116505888512255</v>
      </c>
      <c r="R9" s="239">
        <f>C32</f>
        <v>0.35699999999999998</v>
      </c>
      <c r="S9" s="48"/>
      <c r="T9" s="170"/>
      <c r="U9" s="48"/>
      <c r="V9" s="48"/>
      <c r="W9" s="48"/>
      <c r="X9" s="48"/>
    </row>
    <row r="10" spans="2:24" ht="15" customHeight="1" x14ac:dyDescent="0.2">
      <c r="B10" s="55"/>
      <c r="C10" s="233">
        <f>IF('Extractor Tests Raw Data'!H17="","",('Extractor Tests Raw Data'!H17-'Extractor Tests Raw Data'!G17)/'Extractor Tests Raw Data'!G17)</f>
        <v>0.55312574280960303</v>
      </c>
      <c r="D10" s="403">
        <f>IF(C10="","",AVERAGE(C10:C12))</f>
        <v>0.55246161214556533</v>
      </c>
      <c r="E10" s="233">
        <f>IF('Extractor Tests Raw Data'!K17="","",('Extractor Tests Raw Data'!K17-'Extractor Tests Raw Data'!J17)/'Extractor Tests Raw Data'!J17)</f>
        <v>0.60696044660886084</v>
      </c>
      <c r="F10" s="403">
        <f>IF(E10="","",AVERAGE(E10:E12))</f>
        <v>0.61417028949059238</v>
      </c>
      <c r="G10" s="233">
        <f>IF('Extractor Tests Raw Data'!N17="","",('Extractor Tests Raw Data'!N17-'Extractor Tests Raw Data'!M17)/'Extractor Tests Raw Data'!M17)</f>
        <v>0.59270697232450409</v>
      </c>
      <c r="H10" s="403">
        <f>IF(G10="","",AVERAGE(G10:G12))</f>
        <v>0.57509713224943926</v>
      </c>
      <c r="I10" s="234">
        <f>IF('Extractor Tests Raw Data'!Q17="","",('Extractor Tests Raw Data'!Q17-'Extractor Tests Raw Data'!P17)/'Extractor Tests Raw Data'!P17)</f>
        <v>0.65355360114095562</v>
      </c>
      <c r="J10" s="403">
        <f>IF(I10="","",AVERAGE(I10:I12))</f>
        <v>0.65322752604768031</v>
      </c>
      <c r="K10" s="48"/>
      <c r="N10" s="415"/>
      <c r="O10" s="418"/>
      <c r="P10" s="74" t="s">
        <v>109</v>
      </c>
      <c r="Q10" s="238">
        <f>D16</f>
        <v>0.30463069265257653</v>
      </c>
      <c r="R10" s="239">
        <f>C33</f>
        <v>0.29599999999999999</v>
      </c>
      <c r="S10" s="48"/>
      <c r="T10" s="170"/>
      <c r="U10" s="48"/>
      <c r="V10" s="48"/>
      <c r="W10" s="48"/>
      <c r="X10" s="48"/>
    </row>
    <row r="11" spans="2:24" ht="15" customHeight="1" x14ac:dyDescent="0.2">
      <c r="B11" s="56" t="s">
        <v>100</v>
      </c>
      <c r="C11" s="235">
        <f>IF('Extractor Tests Raw Data'!H18="","",('Extractor Tests Raw Data'!H18-'Extractor Tests Raw Data'!G18)/'Extractor Tests Raw Data'!G18)</f>
        <v>0.55279724432830502</v>
      </c>
      <c r="D11" s="404"/>
      <c r="E11" s="235">
        <f>IF('Extractor Tests Raw Data'!K18="","",('Extractor Tests Raw Data'!K18-'Extractor Tests Raw Data'!J18)/'Extractor Tests Raw Data'!J18)</f>
        <v>0.61980033277870217</v>
      </c>
      <c r="F11" s="404"/>
      <c r="G11" s="235">
        <f>IF('Extractor Tests Raw Data'!N18="","",('Extractor Tests Raw Data'!N18-'Extractor Tests Raw Data'!M18)/'Extractor Tests Raw Data'!M18)</f>
        <v>0.56597717546362325</v>
      </c>
      <c r="H11" s="404"/>
      <c r="I11" s="235">
        <f>IF('Extractor Tests Raw Data'!Q18="","",('Extractor Tests Raw Data'!Q18-'Extractor Tests Raw Data'!P18)/'Extractor Tests Raw Data'!P18)</f>
        <v>0.64615750089084201</v>
      </c>
      <c r="J11" s="404"/>
      <c r="K11" s="48"/>
      <c r="N11" s="415"/>
      <c r="O11" s="418"/>
      <c r="P11" s="74" t="s">
        <v>112</v>
      </c>
      <c r="Q11" s="238">
        <f>D19</f>
        <v>0.25970837492004861</v>
      </c>
      <c r="R11" s="239">
        <f>C34</f>
        <v>0.24199999999999999</v>
      </c>
      <c r="S11" s="48"/>
      <c r="T11" s="170"/>
      <c r="U11" s="48"/>
      <c r="V11" s="48"/>
      <c r="W11" s="48"/>
      <c r="X11" s="48"/>
    </row>
    <row r="12" spans="2:24" ht="15" customHeight="1" thickBot="1" x14ac:dyDescent="0.25">
      <c r="B12" s="57"/>
      <c r="C12" s="236">
        <f>IF('Extractor Tests Raw Data'!H19="","",('Extractor Tests Raw Data'!H19-'Extractor Tests Raw Data'!G19)/'Extractor Tests Raw Data'!G19)</f>
        <v>0.55146184929878783</v>
      </c>
      <c r="D12" s="405"/>
      <c r="E12" s="236">
        <f>IF('Extractor Tests Raw Data'!K19="","",('Extractor Tests Raw Data'!K19-'Extractor Tests Raw Data'!J19)/'Extractor Tests Raw Data'!J19)</f>
        <v>0.61575008908421414</v>
      </c>
      <c r="F12" s="405"/>
      <c r="G12" s="236">
        <f>IF('Extractor Tests Raw Data'!N19="","",('Extractor Tests Raw Data'!N19-'Extractor Tests Raw Data'!M19)/'Extractor Tests Raw Data'!M19)</f>
        <v>0.56660724896019032</v>
      </c>
      <c r="H12" s="405"/>
      <c r="I12" s="236">
        <f>IF('Extractor Tests Raw Data'!Q19="","",('Extractor Tests Raw Data'!Q19-'Extractor Tests Raw Data'!P19)/'Extractor Tests Raw Data'!P19)</f>
        <v>0.65997147611124329</v>
      </c>
      <c r="J12" s="405"/>
      <c r="K12" s="48"/>
      <c r="N12" s="415"/>
      <c r="O12" s="419"/>
      <c r="P12" s="75" t="s">
        <v>113</v>
      </c>
      <c r="Q12" s="240">
        <f>D22</f>
        <v>0.23700056260432792</v>
      </c>
      <c r="R12" s="241">
        <f>C35</f>
        <v>0.23</v>
      </c>
      <c r="S12" s="48"/>
      <c r="T12" s="170"/>
      <c r="U12" s="48"/>
      <c r="V12" s="48"/>
      <c r="W12" s="48"/>
      <c r="X12" s="48"/>
    </row>
    <row r="13" spans="2:24" ht="15" customHeight="1" x14ac:dyDescent="0.2">
      <c r="B13" s="55"/>
      <c r="C13" s="233">
        <f>IF('Extractor Tests Raw Data'!H20="","",('Extractor Tests Raw Data'!H20-'Extractor Tests Raw Data'!G20)/'Extractor Tests Raw Data'!G20)</f>
        <v>0.40477888730385153</v>
      </c>
      <c r="D13" s="403">
        <f>IF(C13="","",AVERAGE(C13:C15))</f>
        <v>0.40116505888512255</v>
      </c>
      <c r="E13" s="233">
        <f>IF('Extractor Tests Raw Data'!K20="","",('Extractor Tests Raw Data'!K20-'Extractor Tests Raw Data'!J20)/'Extractor Tests Raw Data'!J20)</f>
        <v>0.45811051693404642</v>
      </c>
      <c r="F13" s="403">
        <f>IF(E13="","",AVERAGE(E13:E15))</f>
        <v>0.45816477832505359</v>
      </c>
      <c r="G13" s="233">
        <f>IF('Extractor Tests Raw Data'!N20="","",('Extractor Tests Raw Data'!N20-'Extractor Tests Raw Data'!M20)/'Extractor Tests Raw Data'!M20)</f>
        <v>0.43485496909177357</v>
      </c>
      <c r="H13" s="403">
        <f>IF(G13="","",AVERAGE(G13:G15))</f>
        <v>0.43123854132497247</v>
      </c>
      <c r="I13" s="233">
        <f>IF('Extractor Tests Raw Data'!Q20="","",('Extractor Tests Raw Data'!Q20-'Extractor Tests Raw Data'!P20)/'Extractor Tests Raw Data'!P20)</f>
        <v>0.49162210338680939</v>
      </c>
      <c r="J13" s="403">
        <f>IF(I13="","",AVERAGE(I13:I15))</f>
        <v>0.49389923118630014</v>
      </c>
      <c r="K13" s="48"/>
      <c r="N13" s="415"/>
      <c r="O13" s="417" t="s">
        <v>95</v>
      </c>
      <c r="P13" s="296" t="s">
        <v>100</v>
      </c>
      <c r="Q13" s="237">
        <f>F10</f>
        <v>0.61417028949059238</v>
      </c>
      <c r="R13" s="297">
        <f>D31</f>
        <v>0.499</v>
      </c>
      <c r="S13" s="48"/>
      <c r="T13" s="170"/>
      <c r="U13" s="48"/>
      <c r="V13" s="48"/>
      <c r="W13" s="48"/>
      <c r="X13" s="48"/>
    </row>
    <row r="14" spans="2:24" ht="15" customHeight="1" x14ac:dyDescent="0.2">
      <c r="B14" s="56" t="s">
        <v>107</v>
      </c>
      <c r="C14" s="235">
        <f>IF('Extractor Tests Raw Data'!H21="","",('Extractor Tests Raw Data'!H21-'Extractor Tests Raw Data'!G21)/'Extractor Tests Raw Data'!G21)</f>
        <v>0.39952465834818779</v>
      </c>
      <c r="D14" s="404"/>
      <c r="E14" s="235">
        <f>IF('Extractor Tests Raw Data'!K21="","",('Extractor Tests Raw Data'!K21-'Extractor Tests Raw Data'!J21)/'Extractor Tests Raw Data'!J21)</f>
        <v>0.45660960532572503</v>
      </c>
      <c r="F14" s="404"/>
      <c r="G14" s="235">
        <f>IF('Extractor Tests Raw Data'!N21="","",('Extractor Tests Raw Data'!N21-'Extractor Tests Raw Data'!M21)/'Extractor Tests Raw Data'!M21)</f>
        <v>0.42139037433155097</v>
      </c>
      <c r="H14" s="404"/>
      <c r="I14" s="235">
        <f>IF('Extractor Tests Raw Data'!Q21="","",('Extractor Tests Raw Data'!Q21-'Extractor Tests Raw Data'!P21)/'Extractor Tests Raw Data'!P21)</f>
        <v>0.49536376604850207</v>
      </c>
      <c r="J14" s="404"/>
      <c r="K14" s="48"/>
      <c r="N14" s="415"/>
      <c r="O14" s="418"/>
      <c r="P14" s="74" t="s">
        <v>107</v>
      </c>
      <c r="Q14" s="238">
        <f>F13</f>
        <v>0.45816477832505359</v>
      </c>
      <c r="R14" s="239">
        <f>D32</f>
        <v>0.40400000000000003</v>
      </c>
      <c r="S14" s="48"/>
      <c r="T14" s="170"/>
      <c r="U14" s="48"/>
      <c r="V14" s="48"/>
      <c r="W14" s="48"/>
      <c r="X14" s="48"/>
    </row>
    <row r="15" spans="2:24" ht="15" customHeight="1" thickBot="1" x14ac:dyDescent="0.25">
      <c r="B15" s="57"/>
      <c r="C15" s="236">
        <f>IF('Extractor Tests Raw Data'!H22="","",('Extractor Tests Raw Data'!H22-'Extractor Tests Raw Data'!G22)/'Extractor Tests Raw Data'!G22)</f>
        <v>0.39919163100332838</v>
      </c>
      <c r="D15" s="405"/>
      <c r="E15" s="236">
        <f>IF('Extractor Tests Raw Data'!K22="","",('Extractor Tests Raw Data'!K22-'Extractor Tests Raw Data'!J22)/'Extractor Tests Raw Data'!J22)</f>
        <v>0.45977421271538943</v>
      </c>
      <c r="F15" s="405"/>
      <c r="G15" s="236">
        <f>IF('Extractor Tests Raw Data'!N22="","",('Extractor Tests Raw Data'!N22-'Extractor Tests Raw Data'!M22)/'Extractor Tests Raw Data'!M22)</f>
        <v>0.43747028055159287</v>
      </c>
      <c r="H15" s="405"/>
      <c r="I15" s="236">
        <f>IF('Extractor Tests Raw Data'!Q22="","",('Extractor Tests Raw Data'!Q22-'Extractor Tests Raw Data'!P22)/'Extractor Tests Raw Data'!P22)</f>
        <v>0.49471182412358888</v>
      </c>
      <c r="J15" s="405"/>
      <c r="K15" s="48"/>
      <c r="N15" s="415"/>
      <c r="O15" s="418"/>
      <c r="P15" s="74" t="s">
        <v>109</v>
      </c>
      <c r="Q15" s="238">
        <f>F16</f>
        <v>0.35537797658280623</v>
      </c>
      <c r="R15" s="239">
        <f>D33</f>
        <v>0.33100000000000002</v>
      </c>
      <c r="S15" s="48"/>
      <c r="T15" s="170"/>
      <c r="U15" s="48"/>
      <c r="V15" s="48"/>
      <c r="W15" s="48"/>
      <c r="X15" s="48"/>
    </row>
    <row r="16" spans="2:24" ht="15" customHeight="1" x14ac:dyDescent="0.2">
      <c r="B16" s="55"/>
      <c r="C16" s="233">
        <f>IF('Extractor Tests Raw Data'!H23="","",('Extractor Tests Raw Data'!H23-'Extractor Tests Raw Data'!G23)/'Extractor Tests Raw Data'!G23)</f>
        <v>0.30686950320893758</v>
      </c>
      <c r="D16" s="403">
        <f>IF(C16="","",AVERAGE(C16:C18))</f>
        <v>0.30463069265257653</v>
      </c>
      <c r="E16" s="233">
        <f>IF('Extractor Tests Raw Data'!K23="","",('Extractor Tests Raw Data'!K23-'Extractor Tests Raw Data'!J23)/'Extractor Tests Raw Data'!J23)</f>
        <v>0.35348616225204882</v>
      </c>
      <c r="F16" s="403">
        <f>IF(E16="","",AVERAGE(E16:E18))</f>
        <v>0.35537797658280623</v>
      </c>
      <c r="G16" s="233">
        <f>IF('Extractor Tests Raw Data'!N23="","",('Extractor Tests Raw Data'!N23-'Extractor Tests Raw Data'!M23)/'Extractor Tests Raw Data'!M23)</f>
        <v>0.31827905871167111</v>
      </c>
      <c r="H16" s="403">
        <f>IF(G16="","",AVERAGE(G16:G18))</f>
        <v>0.32459270917454902</v>
      </c>
      <c r="I16" s="233">
        <f>IF('Extractor Tests Raw Data'!Q23="","",('Extractor Tests Raw Data'!Q23-'Extractor Tests Raw Data'!P23)/'Extractor Tests Raw Data'!P23)</f>
        <v>0.38591281624896051</v>
      </c>
      <c r="J16" s="403">
        <f>IF(I16="","",AVERAGE(I16:I18))</f>
        <v>0.38959259685169045</v>
      </c>
      <c r="K16" s="48"/>
      <c r="N16" s="415"/>
      <c r="O16" s="418"/>
      <c r="P16" s="74" t="s">
        <v>112</v>
      </c>
      <c r="Q16" s="238">
        <f>F19</f>
        <v>0.31068925603859548</v>
      </c>
      <c r="R16" s="239">
        <f>D34</f>
        <v>0.28699999999999998</v>
      </c>
      <c r="S16" s="48"/>
      <c r="T16" s="170"/>
      <c r="U16" s="48"/>
      <c r="V16" s="48"/>
      <c r="W16" s="48"/>
      <c r="X16" s="48"/>
    </row>
    <row r="17" spans="2:24" ht="15" customHeight="1" thickBot="1" x14ac:dyDescent="0.25">
      <c r="B17" s="56" t="s">
        <v>109</v>
      </c>
      <c r="C17" s="235">
        <f>IF('Extractor Tests Raw Data'!H24="","",('Extractor Tests Raw Data'!H24-'Extractor Tests Raw Data'!G24)/'Extractor Tests Raw Data'!G24)</f>
        <v>0.30241121273310362</v>
      </c>
      <c r="D17" s="404"/>
      <c r="E17" s="235">
        <f>IF('Extractor Tests Raw Data'!K24="","",('Extractor Tests Raw Data'!K24-'Extractor Tests Raw Data'!J24)/'Extractor Tests Raw Data'!J24)</f>
        <v>0.35631091038744961</v>
      </c>
      <c r="F17" s="404"/>
      <c r="G17" s="235">
        <f>IF('Extractor Tests Raw Data'!N24="","",('Extractor Tests Raw Data'!N24-'Extractor Tests Raw Data'!M24)/'Extractor Tests Raw Data'!M24)</f>
        <v>0.32616700320703151</v>
      </c>
      <c r="H17" s="404"/>
      <c r="I17" s="235">
        <f>IF('Extractor Tests Raw Data'!Q24="","",('Extractor Tests Raw Data'!Q24-'Extractor Tests Raw Data'!P24)/'Extractor Tests Raw Data'!P24)</f>
        <v>0.38804373662942721</v>
      </c>
      <c r="J17" s="404"/>
      <c r="K17" s="48"/>
      <c r="N17" s="416"/>
      <c r="O17" s="419"/>
      <c r="P17" s="75" t="s">
        <v>113</v>
      </c>
      <c r="Q17" s="240">
        <f>F22</f>
        <v>0.27886337149891438</v>
      </c>
      <c r="R17" s="241">
        <f>D35</f>
        <v>0.26400000000000001</v>
      </c>
      <c r="S17" s="48"/>
      <c r="T17" s="170"/>
      <c r="U17" s="48"/>
      <c r="V17" s="48"/>
      <c r="W17" s="48"/>
      <c r="X17" s="48"/>
    </row>
    <row r="18" spans="2:24" ht="15" customHeight="1" thickBot="1" x14ac:dyDescent="0.25">
      <c r="B18" s="57"/>
      <c r="C18" s="236">
        <f>IF('Extractor Tests Raw Data'!H25="","",('Extractor Tests Raw Data'!H25-'Extractor Tests Raw Data'!G25)/'Extractor Tests Raw Data'!G25)</f>
        <v>0.30461136201568823</v>
      </c>
      <c r="D18" s="405"/>
      <c r="E18" s="236">
        <f>IF('Extractor Tests Raw Data'!K25="","",('Extractor Tests Raw Data'!K25-'Extractor Tests Raw Data'!J25)/'Extractor Tests Raw Data'!J25)</f>
        <v>0.35633685710892027</v>
      </c>
      <c r="F18" s="405"/>
      <c r="G18" s="236">
        <f>IF('Extractor Tests Raw Data'!N25="","",('Extractor Tests Raw Data'!N25-'Extractor Tests Raw Data'!M25)/'Extractor Tests Raw Data'!M25)</f>
        <v>0.32933206560494427</v>
      </c>
      <c r="H18" s="405"/>
      <c r="I18" s="236">
        <f>IF('Extractor Tests Raw Data'!Q25="","",('Extractor Tests Raw Data'!Q25-'Extractor Tests Raw Data'!P25)/'Extractor Tests Raw Data'!P25)</f>
        <v>0.39482123767668365</v>
      </c>
      <c r="J18" s="405"/>
      <c r="K18" s="48"/>
      <c r="N18" s="414" t="s">
        <v>137</v>
      </c>
      <c r="O18" s="417" t="s">
        <v>94</v>
      </c>
      <c r="P18" s="296" t="s">
        <v>100</v>
      </c>
      <c r="Q18" s="237">
        <f>H10</f>
        <v>0.57509713224943926</v>
      </c>
      <c r="R18" s="297">
        <f>E31</f>
        <v>0.497</v>
      </c>
      <c r="S18" s="48"/>
      <c r="T18" s="170"/>
      <c r="U18" s="48"/>
      <c r="V18" s="48"/>
      <c r="W18" s="48"/>
      <c r="X18" s="48"/>
    </row>
    <row r="19" spans="2:24" ht="15" customHeight="1" x14ac:dyDescent="0.2">
      <c r="B19" s="55"/>
      <c r="C19" s="233">
        <f>IF('Extractor Tests Raw Data'!H26="","",('Extractor Tests Raw Data'!H26-'Extractor Tests Raw Data'!G26)/'Extractor Tests Raw Data'!G26)</f>
        <v>0.25894236482471783</v>
      </c>
      <c r="D19" s="403">
        <f>IF(C19="","",AVERAGE(C19:C21))</f>
        <v>0.25970837492004861</v>
      </c>
      <c r="E19" s="233">
        <f>IF('Extractor Tests Raw Data'!K26="","",('Extractor Tests Raw Data'!K26-'Extractor Tests Raw Data'!J26)/'Extractor Tests Raw Data'!J26)</f>
        <v>0.31260404280618304</v>
      </c>
      <c r="F19" s="403">
        <f>IF(E19="","",AVERAGE(E19:E21))</f>
        <v>0.31068925603859548</v>
      </c>
      <c r="G19" s="233">
        <f>IF('Extractor Tests Raw Data'!N26="","",('Extractor Tests Raw Data'!N26-'Extractor Tests Raw Data'!M26)/'Extractor Tests Raw Data'!M26)</f>
        <v>0.28554446029481684</v>
      </c>
      <c r="H19" s="403">
        <f>IF(G19="","",AVERAGE(G19:G21))</f>
        <v>0.2867780628584522</v>
      </c>
      <c r="I19" s="233">
        <f>IF('Extractor Tests Raw Data'!Q26="","",('Extractor Tests Raw Data'!Q26-'Extractor Tests Raw Data'!P26)/'Extractor Tests Raw Data'!P26)</f>
        <v>0.34165477888730367</v>
      </c>
      <c r="J19" s="403">
        <f>IF(I19="","",AVERAGE(I19:I21))</f>
        <v>0.34125782735751686</v>
      </c>
      <c r="K19" s="48"/>
      <c r="N19" s="415"/>
      <c r="O19" s="418"/>
      <c r="P19" s="74" t="s">
        <v>107</v>
      </c>
      <c r="Q19" s="238">
        <f>H13</f>
        <v>0.43123854132497247</v>
      </c>
      <c r="R19" s="239">
        <f>E32</f>
        <v>0.379</v>
      </c>
      <c r="S19" s="48"/>
      <c r="T19" s="170"/>
      <c r="U19" s="48"/>
      <c r="V19" s="48"/>
      <c r="W19" s="48"/>
      <c r="X19" s="48"/>
    </row>
    <row r="20" spans="2:24" ht="15" customHeight="1" x14ac:dyDescent="0.2">
      <c r="B20" s="56" t="s">
        <v>112</v>
      </c>
      <c r="C20" s="235">
        <f>IF('Extractor Tests Raw Data'!H27="","",('Extractor Tests Raw Data'!H27-'Extractor Tests Raw Data'!G27)/'Extractor Tests Raw Data'!G27)</f>
        <v>0.25719381688466114</v>
      </c>
      <c r="D20" s="404"/>
      <c r="E20" s="235">
        <f>IF('Extractor Tests Raw Data'!K27="","",('Extractor Tests Raw Data'!K27-'Extractor Tests Raw Data'!J27)/'Extractor Tests Raw Data'!J27)</f>
        <v>0.31007014623707058</v>
      </c>
      <c r="F20" s="404"/>
      <c r="G20" s="235">
        <f>IF('Extractor Tests Raw Data'!N27="","",('Extractor Tests Raw Data'!N27-'Extractor Tests Raw Data'!M27)/'Extractor Tests Raw Data'!M27)</f>
        <v>0.28960190136660741</v>
      </c>
      <c r="H20" s="404"/>
      <c r="I20" s="235">
        <f>IF('Extractor Tests Raw Data'!Q27="","",('Extractor Tests Raw Data'!Q27-'Extractor Tests Raw Data'!P27)/'Extractor Tests Raw Data'!P27)</f>
        <v>0.33915626856803344</v>
      </c>
      <c r="J20" s="404"/>
      <c r="K20" s="48"/>
      <c r="N20" s="415"/>
      <c r="O20" s="418"/>
      <c r="P20" s="74" t="s">
        <v>109</v>
      </c>
      <c r="Q20" s="238">
        <f>H16</f>
        <v>0.32459270917454902</v>
      </c>
      <c r="R20" s="239">
        <f>E33</f>
        <v>0.307</v>
      </c>
      <c r="S20" s="48"/>
      <c r="T20" s="170"/>
      <c r="U20" s="48"/>
      <c r="V20" s="48"/>
      <c r="W20" s="48"/>
      <c r="X20" s="48"/>
    </row>
    <row r="21" spans="2:24" ht="15" customHeight="1" thickBot="1" x14ac:dyDescent="0.25">
      <c r="B21" s="57"/>
      <c r="C21" s="236">
        <f>IF('Extractor Tests Raw Data'!H28="","",('Extractor Tests Raw Data'!H28-'Extractor Tests Raw Data'!G28)/'Extractor Tests Raw Data'!G28)</f>
        <v>0.26298894305076681</v>
      </c>
      <c r="D21" s="405"/>
      <c r="E21" s="236">
        <f>IF('Extractor Tests Raw Data'!K28="","",('Extractor Tests Raw Data'!K28-'Extractor Tests Raw Data'!J28)/'Extractor Tests Raw Data'!J28)</f>
        <v>0.30939357907253273</v>
      </c>
      <c r="F21" s="405"/>
      <c r="G21" s="236">
        <f>IF('Extractor Tests Raw Data'!N28="","",('Extractor Tests Raw Data'!N28-'Extractor Tests Raw Data'!M28)/'Extractor Tests Raw Data'!M28)</f>
        <v>0.28518782691393235</v>
      </c>
      <c r="H21" s="405"/>
      <c r="I21" s="236">
        <f>IF('Extractor Tests Raw Data'!Q28="","",('Extractor Tests Raw Data'!Q28-'Extractor Tests Raw Data'!P28)/'Extractor Tests Raw Data'!P28)</f>
        <v>0.34296243461721343</v>
      </c>
      <c r="J21" s="405"/>
      <c r="K21" s="48"/>
      <c r="N21" s="415"/>
      <c r="O21" s="418"/>
      <c r="P21" s="74" t="s">
        <v>112</v>
      </c>
      <c r="Q21" s="298">
        <f>H19</f>
        <v>0.2867780628584522</v>
      </c>
      <c r="R21" s="239">
        <f>E34</f>
        <v>0.255</v>
      </c>
      <c r="S21" s="48"/>
      <c r="T21" s="170"/>
      <c r="U21" s="48"/>
      <c r="V21" s="48"/>
      <c r="W21" s="48"/>
      <c r="X21" s="48"/>
    </row>
    <row r="22" spans="2:24" ht="15" customHeight="1" thickBot="1" x14ac:dyDescent="0.25">
      <c r="B22" s="55"/>
      <c r="C22" s="233">
        <f>IF('Extractor Tests Raw Data'!H29="","",('Extractor Tests Raw Data'!H29-'Extractor Tests Raw Data'!G29)/'Extractor Tests Raw Data'!G29)</f>
        <v>0.23802163833075743</v>
      </c>
      <c r="D22" s="403">
        <f>IF(C22="","",AVERAGE(C22:C24))</f>
        <v>0.23700056260432792</v>
      </c>
      <c r="E22" s="233">
        <f>IF('Extractor Tests Raw Data'!K29="","",('Extractor Tests Raw Data'!K29-'Extractor Tests Raw Data'!J29)/'Extractor Tests Raw Data'!J29)</f>
        <v>0.28002378121284188</v>
      </c>
      <c r="F22" s="403">
        <f>IF(E22="","",AVERAGE(E22:E24))</f>
        <v>0.27886337149891438</v>
      </c>
      <c r="G22" s="233">
        <f>IF('Extractor Tests Raw Data'!N29="","",('Extractor Tests Raw Data'!N29-'Extractor Tests Raw Data'!M29)/'Extractor Tests Raw Data'!M29)</f>
        <v>0.25740102247057439</v>
      </c>
      <c r="H22" s="403">
        <f>IF(G22="","",AVERAGE(G22:G24))</f>
        <v>0.2560636885629029</v>
      </c>
      <c r="I22" s="233">
        <f>IF('Extractor Tests Raw Data'!Q29="","",('Extractor Tests Raw Data'!Q29-'Extractor Tests Raw Data'!P29)/'Extractor Tests Raw Data'!P29)</f>
        <v>0.30416171224732458</v>
      </c>
      <c r="J22" s="403">
        <f>IF(I22="","",AVERAGE(I22:I24))</f>
        <v>0.30482343559217157</v>
      </c>
      <c r="K22" s="48"/>
      <c r="N22" s="415"/>
      <c r="O22" s="419"/>
      <c r="P22" s="75" t="s">
        <v>113</v>
      </c>
      <c r="Q22" s="240">
        <f>H22</f>
        <v>0.2560636885629029</v>
      </c>
      <c r="R22" s="241">
        <f>E35</f>
        <v>0.24099999999999999</v>
      </c>
      <c r="S22" s="48"/>
      <c r="T22" s="170"/>
      <c r="U22" s="48"/>
      <c r="V22" s="48"/>
      <c r="W22" s="48"/>
      <c r="X22" s="48"/>
    </row>
    <row r="23" spans="2:24" ht="15" customHeight="1" x14ac:dyDescent="0.2">
      <c r="B23" s="56" t="s">
        <v>113</v>
      </c>
      <c r="C23" s="235">
        <f>IF('Extractor Tests Raw Data'!H30="","",('Extractor Tests Raw Data'!H30-'Extractor Tests Raw Data'!G30)/'Extractor Tests Raw Data'!G30)</f>
        <v>0.23519619500594527</v>
      </c>
      <c r="D23" s="404"/>
      <c r="E23" s="235">
        <f>IF('Extractor Tests Raw Data'!K30="","",('Extractor Tests Raw Data'!K30-'Extractor Tests Raw Data'!J30)/'Extractor Tests Raw Data'!J30)</f>
        <v>0.27713708239210572</v>
      </c>
      <c r="F23" s="404"/>
      <c r="G23" s="235">
        <f>IF('Extractor Tests Raw Data'!N30="","",('Extractor Tests Raw Data'!N30-'Extractor Tests Raw Data'!M30)/'Extractor Tests Raw Data'!M30)</f>
        <v>0.25505350772889412</v>
      </c>
      <c r="H23" s="404"/>
      <c r="I23" s="235">
        <f>IF('Extractor Tests Raw Data'!Q30="","",('Extractor Tests Raw Data'!Q30-'Extractor Tests Raw Data'!P30)/'Extractor Tests Raw Data'!P30)</f>
        <v>0.30472000951135425</v>
      </c>
      <c r="J23" s="404"/>
      <c r="K23" s="48"/>
      <c r="N23" s="415"/>
      <c r="O23" s="417" t="s">
        <v>95</v>
      </c>
      <c r="P23" s="296" t="s">
        <v>100</v>
      </c>
      <c r="Q23" s="242">
        <f>J10</f>
        <v>0.65322752604768031</v>
      </c>
      <c r="R23" s="243">
        <f>F31</f>
        <v>0.52800000000000002</v>
      </c>
      <c r="S23" s="48"/>
      <c r="T23" s="170"/>
      <c r="U23" s="48"/>
      <c r="V23" s="48"/>
      <c r="W23" s="48"/>
      <c r="X23" s="48"/>
    </row>
    <row r="24" spans="2:24" ht="15" customHeight="1" thickBot="1" x14ac:dyDescent="0.25">
      <c r="B24" s="57"/>
      <c r="C24" s="236">
        <f>IF('Extractor Tests Raw Data'!H31="","",('Extractor Tests Raw Data'!H31-'Extractor Tests Raw Data'!G31)/'Extractor Tests Raw Data'!G31)</f>
        <v>0.23778385447628106</v>
      </c>
      <c r="D24" s="405"/>
      <c r="E24" s="236">
        <f>IF('Extractor Tests Raw Data'!K31="","",('Extractor Tests Raw Data'!K31-'Extractor Tests Raw Data'!J31)/'Extractor Tests Raw Data'!J31)</f>
        <v>0.27942925089179543</v>
      </c>
      <c r="F24" s="405"/>
      <c r="G24" s="236">
        <f>IF('Extractor Tests Raw Data'!N31="","",('Extractor Tests Raw Data'!N31-'Extractor Tests Raw Data'!M31)/'Extractor Tests Raw Data'!M31)</f>
        <v>0.25573653548924025</v>
      </c>
      <c r="H24" s="405"/>
      <c r="I24" s="236">
        <f>IF('Extractor Tests Raw Data'!Q31="","",('Extractor Tests Raw Data'!Q31-'Extractor Tests Raw Data'!P31)/'Extractor Tests Raw Data'!P31)</f>
        <v>0.30558858501783592</v>
      </c>
      <c r="J24" s="405"/>
      <c r="K24" s="48"/>
      <c r="N24" s="415"/>
      <c r="O24" s="418"/>
      <c r="P24" s="74" t="s">
        <v>107</v>
      </c>
      <c r="Q24" s="238">
        <f>J13</f>
        <v>0.49389923118630014</v>
      </c>
      <c r="R24" s="239">
        <f>F32</f>
        <v>0.43099999999999999</v>
      </c>
      <c r="S24" s="48"/>
      <c r="T24" s="170"/>
      <c r="U24" s="48"/>
      <c r="V24" s="48"/>
      <c r="W24" s="48"/>
      <c r="X24" s="48"/>
    </row>
    <row r="25" spans="2:24" ht="15" customHeight="1" x14ac:dyDescent="0.2">
      <c r="B25" s="48"/>
      <c r="C25" s="48"/>
      <c r="D25" s="48"/>
      <c r="E25" s="48"/>
      <c r="F25" s="48"/>
      <c r="G25" s="48"/>
      <c r="H25" s="48"/>
      <c r="I25" s="48"/>
      <c r="J25" s="48"/>
      <c r="K25" s="48"/>
      <c r="N25" s="415"/>
      <c r="O25" s="418"/>
      <c r="P25" s="74" t="s">
        <v>109</v>
      </c>
      <c r="Q25" s="238">
        <f>J16</f>
        <v>0.38959259685169045</v>
      </c>
      <c r="R25" s="239">
        <f>F33</f>
        <v>0.35799999999999998</v>
      </c>
      <c r="S25" s="48"/>
      <c r="T25" s="170"/>
      <c r="U25" s="48"/>
      <c r="V25" s="48"/>
      <c r="W25" s="48"/>
      <c r="X25" s="48"/>
    </row>
    <row r="26" spans="2:24" ht="15" customHeight="1" x14ac:dyDescent="0.2">
      <c r="B26" s="48"/>
      <c r="C26" s="48"/>
      <c r="D26" s="48"/>
      <c r="E26" s="48"/>
      <c r="F26" s="48"/>
      <c r="G26" s="48"/>
      <c r="H26" s="48"/>
      <c r="I26" s="48"/>
      <c r="J26" s="48"/>
      <c r="K26" s="48"/>
      <c r="M26" s="48"/>
      <c r="N26" s="415"/>
      <c r="O26" s="418"/>
      <c r="P26" s="74" t="s">
        <v>112</v>
      </c>
      <c r="Q26" s="238">
        <f>J19</f>
        <v>0.34125782735751686</v>
      </c>
      <c r="R26" s="239">
        <f>F34</f>
        <v>0.3</v>
      </c>
      <c r="S26" s="48"/>
      <c r="T26" s="170"/>
    </row>
    <row r="27" spans="2:24" ht="15" customHeight="1" thickBot="1" x14ac:dyDescent="0.25">
      <c r="B27" s="48"/>
      <c r="C27" s="48"/>
      <c r="D27" s="48"/>
      <c r="E27" s="48"/>
      <c r="F27" s="48"/>
      <c r="G27" s="48"/>
      <c r="H27" s="48"/>
      <c r="I27" s="48"/>
      <c r="J27" s="48"/>
      <c r="K27" s="48"/>
      <c r="L27" s="48"/>
      <c r="N27" s="416"/>
      <c r="O27" s="419"/>
      <c r="P27" s="75" t="s">
        <v>113</v>
      </c>
      <c r="Q27" s="240">
        <f>J22</f>
        <v>0.30482343559217157</v>
      </c>
      <c r="R27" s="241">
        <f>F35</f>
        <v>0.28000000000000003</v>
      </c>
      <c r="S27" s="48"/>
      <c r="T27" s="170"/>
    </row>
    <row r="28" spans="2:24" ht="15" customHeight="1" thickBot="1" x14ac:dyDescent="0.25">
      <c r="B28" s="7" t="s">
        <v>138</v>
      </c>
      <c r="C28"/>
      <c r="D28"/>
      <c r="E28"/>
      <c r="F28"/>
      <c r="G28" s="48"/>
      <c r="H28" s="7" t="str">
        <f>"Table 3.1 - Avg. RMC Values (Lot #"&amp;C4&amp;")"</f>
        <v>Table 3.1 - Avg. RMC Values (Lot #Testfabrics  Lot 3345)</v>
      </c>
      <c r="I28"/>
      <c r="J28"/>
      <c r="K28"/>
      <c r="N28" s="48"/>
      <c r="O28" s="48"/>
      <c r="P28"/>
      <c r="Q28"/>
      <c r="R28" s="1"/>
      <c r="S28" s="2"/>
      <c r="T28" s="170"/>
    </row>
    <row r="29" spans="2:24" ht="15" customHeight="1" thickBot="1" x14ac:dyDescent="0.25">
      <c r="B29" s="376" t="s">
        <v>91</v>
      </c>
      <c r="C29" s="60" t="s">
        <v>139</v>
      </c>
      <c r="D29" s="61"/>
      <c r="E29" s="60" t="s">
        <v>140</v>
      </c>
      <c r="F29" s="61"/>
      <c r="G29" s="48"/>
      <c r="H29" s="376" t="s">
        <v>91</v>
      </c>
      <c r="I29" s="60" t="s">
        <v>139</v>
      </c>
      <c r="J29" s="61"/>
      <c r="K29" s="60" t="s">
        <v>140</v>
      </c>
      <c r="L29" s="61"/>
      <c r="N29" s="48"/>
      <c r="O29" s="48"/>
      <c r="P29" s="7" t="s">
        <v>141</v>
      </c>
      <c r="Q29" s="48"/>
      <c r="R29" s="48"/>
      <c r="S29" s="48"/>
      <c r="T29" s="170"/>
    </row>
    <row r="30" spans="2:24" ht="15" customHeight="1" thickBot="1" x14ac:dyDescent="0.25">
      <c r="B30" s="377"/>
      <c r="C30" s="299" t="s">
        <v>94</v>
      </c>
      <c r="D30" s="300" t="s">
        <v>95</v>
      </c>
      <c r="E30" s="299" t="s">
        <v>94</v>
      </c>
      <c r="F30" s="300" t="s">
        <v>95</v>
      </c>
      <c r="G30" s="48"/>
      <c r="H30" s="377"/>
      <c r="I30" s="299" t="s">
        <v>94</v>
      </c>
      <c r="J30" s="300" t="s">
        <v>95</v>
      </c>
      <c r="K30" s="299" t="s">
        <v>94</v>
      </c>
      <c r="L30" s="300" t="s">
        <v>95</v>
      </c>
      <c r="N30" s="48"/>
      <c r="O30" s="48"/>
      <c r="P30" s="406" t="s">
        <v>142</v>
      </c>
      <c r="Q30" s="407"/>
      <c r="R30" s="48"/>
      <c r="S30" s="48"/>
      <c r="T30" s="170"/>
    </row>
    <row r="31" spans="2:24" ht="15" customHeight="1" x14ac:dyDescent="0.25">
      <c r="B31" s="62">
        <v>100</v>
      </c>
      <c r="C31" s="64">
        <v>0.45900000000000002</v>
      </c>
      <c r="D31" s="65">
        <v>0.499</v>
      </c>
      <c r="E31" s="64">
        <v>0.497</v>
      </c>
      <c r="F31" s="65">
        <v>0.52800000000000002</v>
      </c>
      <c r="G31" s="48"/>
      <c r="H31" s="62">
        <v>100</v>
      </c>
      <c r="I31" s="244">
        <f>D10</f>
        <v>0.55246161214556533</v>
      </c>
      <c r="J31" s="245">
        <f>F10</f>
        <v>0.61417028949059238</v>
      </c>
      <c r="K31" s="244">
        <f>H10</f>
        <v>0.57509713224943926</v>
      </c>
      <c r="L31" s="245">
        <f>J10</f>
        <v>0.65322752604768031</v>
      </c>
      <c r="M31" s="70"/>
      <c r="N31" s="48"/>
      <c r="O31" s="48"/>
      <c r="P31" s="76" t="s">
        <v>105</v>
      </c>
      <c r="Q31" s="77">
        <f>IF(Q8="","",SLOPE(R8:R27,Q8:Q27))</f>
        <v>0.73670714257495806</v>
      </c>
      <c r="R31" s="48"/>
      <c r="S31" s="48"/>
      <c r="T31" s="170"/>
    </row>
    <row r="32" spans="2:24" ht="15" customHeight="1" thickBot="1" x14ac:dyDescent="0.3">
      <c r="B32" s="62">
        <v>200</v>
      </c>
      <c r="C32" s="66">
        <v>0.35699999999999998</v>
      </c>
      <c r="D32" s="67">
        <v>0.40400000000000003</v>
      </c>
      <c r="E32" s="66">
        <v>0.379</v>
      </c>
      <c r="F32" s="67">
        <v>0.43099999999999999</v>
      </c>
      <c r="G32" s="48"/>
      <c r="H32" s="62">
        <v>200</v>
      </c>
      <c r="I32" s="246">
        <f>D13</f>
        <v>0.40116505888512255</v>
      </c>
      <c r="J32" s="247">
        <f>F13</f>
        <v>0.45816477832505359</v>
      </c>
      <c r="K32" s="246">
        <f>H13</f>
        <v>0.43123854132497247</v>
      </c>
      <c r="L32" s="247">
        <f>J13</f>
        <v>0.49389923118630014</v>
      </c>
      <c r="M32" s="70"/>
      <c r="N32" s="48"/>
      <c r="O32" s="48"/>
      <c r="P32" s="78" t="s">
        <v>106</v>
      </c>
      <c r="Q32" s="79">
        <f>IF(Q8="","",INTERCEPT(R8:R27,Q8:Q27))</f>
        <v>5.8873255758079723E-2</v>
      </c>
      <c r="R32" s="48"/>
      <c r="S32" s="48"/>
      <c r="T32" s="170"/>
    </row>
    <row r="33" spans="1:20" ht="15" customHeight="1" x14ac:dyDescent="0.2">
      <c r="A33" s="48"/>
      <c r="B33" s="62">
        <v>350</v>
      </c>
      <c r="C33" s="66">
        <v>0.29599999999999999</v>
      </c>
      <c r="D33" s="67">
        <v>0.33100000000000002</v>
      </c>
      <c r="E33" s="66">
        <v>0.307</v>
      </c>
      <c r="F33" s="67">
        <v>0.35799999999999998</v>
      </c>
      <c r="G33" s="48"/>
      <c r="H33" s="62">
        <v>350</v>
      </c>
      <c r="I33" s="246">
        <f>D16</f>
        <v>0.30463069265257653</v>
      </c>
      <c r="J33" s="247">
        <f>F16</f>
        <v>0.35537797658280623</v>
      </c>
      <c r="K33" s="246">
        <f>H16</f>
        <v>0.32459270917454902</v>
      </c>
      <c r="L33" s="247">
        <f>J16</f>
        <v>0.38959259685169045</v>
      </c>
      <c r="M33" s="70"/>
      <c r="N33" s="48"/>
      <c r="O33" s="48"/>
      <c r="P33" s="48"/>
      <c r="Q33" s="48"/>
      <c r="R33" s="48"/>
      <c r="S33" s="48"/>
      <c r="T33" s="170"/>
    </row>
    <row r="34" spans="1:20" ht="15" customHeight="1" x14ac:dyDescent="0.2">
      <c r="A34" s="48"/>
      <c r="B34" s="62">
        <v>500</v>
      </c>
      <c r="C34" s="66">
        <v>0.24199999999999999</v>
      </c>
      <c r="D34" s="67">
        <v>0.28699999999999998</v>
      </c>
      <c r="E34" s="66">
        <v>0.255</v>
      </c>
      <c r="F34" s="67">
        <v>0.3</v>
      </c>
      <c r="G34" s="48"/>
      <c r="H34" s="62">
        <v>500</v>
      </c>
      <c r="I34" s="246">
        <f>D19</f>
        <v>0.25970837492004861</v>
      </c>
      <c r="J34" s="247">
        <f>F19</f>
        <v>0.31068925603859548</v>
      </c>
      <c r="K34" s="246">
        <f>H19</f>
        <v>0.2867780628584522</v>
      </c>
      <c r="L34" s="247">
        <f>J19</f>
        <v>0.34125782735751686</v>
      </c>
      <c r="M34" s="71"/>
      <c r="N34" s="48"/>
      <c r="O34" s="48"/>
      <c r="P34" s="48"/>
      <c r="Q34" s="48"/>
      <c r="R34" s="48"/>
      <c r="S34" s="48"/>
      <c r="T34" s="170"/>
    </row>
    <row r="35" spans="1:20" ht="15" customHeight="1" thickBot="1" x14ac:dyDescent="0.25">
      <c r="A35" s="48"/>
      <c r="B35" s="63">
        <v>650</v>
      </c>
      <c r="C35" s="68">
        <v>0.23</v>
      </c>
      <c r="D35" s="69">
        <v>0.26400000000000001</v>
      </c>
      <c r="E35" s="68">
        <v>0.24099999999999999</v>
      </c>
      <c r="F35" s="69">
        <v>0.28000000000000003</v>
      </c>
      <c r="G35" s="48"/>
      <c r="H35" s="63">
        <v>650</v>
      </c>
      <c r="I35" s="248">
        <f>D22</f>
        <v>0.23700056260432792</v>
      </c>
      <c r="J35" s="249">
        <f>F22</f>
        <v>0.27886337149891438</v>
      </c>
      <c r="K35" s="248">
        <f>H22</f>
        <v>0.2560636885629029</v>
      </c>
      <c r="L35" s="249">
        <f>J22</f>
        <v>0.30482343559217157</v>
      </c>
      <c r="N35" s="48"/>
      <c r="O35" s="48"/>
      <c r="P35" s="48"/>
      <c r="Q35" s="48"/>
      <c r="R35" s="48"/>
      <c r="S35" s="48"/>
      <c r="T35" s="170"/>
    </row>
    <row r="36" spans="1:20" x14ac:dyDescent="0.2">
      <c r="A36" s="48"/>
      <c r="B36"/>
      <c r="C36"/>
      <c r="D36" s="48"/>
      <c r="E36"/>
      <c r="F36"/>
      <c r="G36" s="48"/>
      <c r="H36"/>
      <c r="I36"/>
      <c r="J36" s="48"/>
      <c r="K36"/>
      <c r="M36" s="48"/>
      <c r="N36" s="48"/>
      <c r="O36" s="48"/>
      <c r="P36" s="48"/>
      <c r="Q36" s="48"/>
      <c r="R36" s="48"/>
      <c r="S36" s="48"/>
      <c r="T36" s="170"/>
    </row>
    <row r="37" spans="1:20" x14ac:dyDescent="0.2">
      <c r="A37" s="283"/>
      <c r="B37" s="283"/>
      <c r="C37" s="283"/>
      <c r="D37" s="283"/>
      <c r="E37" s="283"/>
      <c r="F37" s="283"/>
      <c r="G37" s="283"/>
      <c r="H37" s="283"/>
      <c r="I37" s="283"/>
      <c r="J37" s="283"/>
      <c r="K37" s="283"/>
      <c r="L37" s="283"/>
      <c r="M37" s="283"/>
      <c r="N37" s="283"/>
      <c r="O37" s="283"/>
      <c r="P37" s="283"/>
      <c r="Q37" s="283"/>
      <c r="R37" s="283"/>
      <c r="S37" s="283"/>
      <c r="T37" s="170"/>
    </row>
    <row r="38" spans="1:20" x14ac:dyDescent="0.2">
      <c r="A38" s="48"/>
      <c r="B38" s="48"/>
      <c r="C38" s="48"/>
      <c r="D38" s="48"/>
      <c r="E38" s="48"/>
      <c r="F38" s="48"/>
      <c r="G38" s="48"/>
      <c r="H38" s="48"/>
      <c r="I38" s="48"/>
      <c r="J38" s="48"/>
      <c r="K38" s="48"/>
      <c r="L38" s="48"/>
      <c r="M38" s="48"/>
      <c r="N38" s="48"/>
      <c r="O38" s="48"/>
      <c r="P38" s="48"/>
      <c r="Q38" s="48"/>
      <c r="R38" s="48"/>
      <c r="S38" s="48"/>
    </row>
    <row r="39" spans="1:20" x14ac:dyDescent="0.2">
      <c r="A39" s="48"/>
      <c r="B39" s="48"/>
      <c r="C39" s="48"/>
      <c r="D39" s="48"/>
      <c r="E39" s="48"/>
      <c r="F39" s="48"/>
      <c r="G39" s="48"/>
      <c r="H39" s="48"/>
      <c r="I39" s="48"/>
      <c r="J39" s="48"/>
      <c r="K39" s="48"/>
      <c r="L39" s="48"/>
      <c r="N39" s="48"/>
      <c r="O39" s="48"/>
      <c r="P39" s="48"/>
      <c r="Q39" s="48"/>
      <c r="R39" s="48"/>
      <c r="S39" s="48"/>
    </row>
  </sheetData>
  <sheetProtection algorithmName="SHA-512" hashValue="h1ps9TxLtdVaFm08o2owK587gg2fVtQ6GIKvL1mEP4gNmGisDltNQu7teN/qFuq2OoTQcdXMjZIqU0ZuJvViwg==" saltValue="uZNekVMu3fWzsLRzqYv+uw==" spinCount="100000" sheet="1" selectLockedCells="1"/>
  <mergeCells count="33">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 ref="D22:D24"/>
    <mergeCell ref="F22:F24"/>
    <mergeCell ref="H22:H24"/>
    <mergeCell ref="J22:J24"/>
    <mergeCell ref="J13:J15"/>
    <mergeCell ref="H13:H15"/>
    <mergeCell ref="F13:F15"/>
    <mergeCell ref="D13:D15"/>
    <mergeCell ref="D16:D18"/>
    <mergeCell ref="F16:F18"/>
    <mergeCell ref="H16:H18"/>
    <mergeCell ref="J16:J18"/>
    <mergeCell ref="J10:J12"/>
    <mergeCell ref="B7:B9"/>
    <mergeCell ref="H10:H12"/>
    <mergeCell ref="F10:F12"/>
    <mergeCell ref="D10:D12"/>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5"/>
  <sheetViews>
    <sheetView showGridLines="0" zoomScale="80" zoomScaleNormal="80" zoomScalePageLayoutView="8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50" t="s">
        <v>125</v>
      </c>
      <c r="P1" s="170"/>
    </row>
    <row r="2" spans="1:16" x14ac:dyDescent="0.2">
      <c r="B2" s="48" t="s">
        <v>143</v>
      </c>
      <c r="P2" s="170"/>
    </row>
    <row r="3" spans="1:16" ht="12.75" customHeight="1" thickBot="1" x14ac:dyDescent="0.3">
      <c r="A3" s="4"/>
      <c r="P3" s="170"/>
    </row>
    <row r="4" spans="1:16" ht="18" x14ac:dyDescent="0.25">
      <c r="A4" s="4"/>
      <c r="B4" s="10" t="s">
        <v>90</v>
      </c>
      <c r="C4" s="256" t="str">
        <f>'Extractor Tests Raw Data'!C14</f>
        <v>Testfabrics  Lot 3345</v>
      </c>
      <c r="P4" s="170"/>
    </row>
    <row r="5" spans="1:16" ht="18.75" thickBot="1" x14ac:dyDescent="0.3">
      <c r="A5" s="4"/>
      <c r="B5" s="18" t="s">
        <v>48</v>
      </c>
      <c r="C5" s="19" t="str">
        <f>J9</f>
        <v>No</v>
      </c>
      <c r="P5" s="170"/>
    </row>
    <row r="6" spans="1:16" ht="13.5" customHeight="1" x14ac:dyDescent="0.25">
      <c r="A6" s="4"/>
      <c r="P6" s="170"/>
    </row>
    <row r="7" spans="1:16" ht="13.5" customHeight="1" thickBot="1" x14ac:dyDescent="0.25">
      <c r="D7" s="7"/>
      <c r="F7" s="7" t="s">
        <v>144</v>
      </c>
      <c r="P7" s="170"/>
    </row>
    <row r="8" spans="1:16" ht="27" customHeight="1" thickBot="1" x14ac:dyDescent="0.25">
      <c r="B8" s="51" t="s">
        <v>145</v>
      </c>
      <c r="C8" s="301" t="s">
        <v>146</v>
      </c>
      <c r="D8" s="82" t="str">
        <f>"Uncorrected Lot "&amp;C4</f>
        <v>Uncorrected Lot Testfabrics  Lot 3345</v>
      </c>
      <c r="F8" s="181" t="s">
        <v>147</v>
      </c>
      <c r="G8" s="302" t="s">
        <v>148</v>
      </c>
      <c r="H8" s="303" t="s">
        <v>149</v>
      </c>
      <c r="I8" s="302" t="s">
        <v>150</v>
      </c>
      <c r="J8" s="304" t="s">
        <v>52</v>
      </c>
      <c r="P8" s="170"/>
    </row>
    <row r="9" spans="1:16" ht="13.5" customHeight="1" thickBot="1" x14ac:dyDescent="0.25">
      <c r="B9" s="90" t="s">
        <v>151</v>
      </c>
      <c r="C9" s="83">
        <v>0.52800000000000002</v>
      </c>
      <c r="D9" s="250">
        <f>'Correction Factors'!J10</f>
        <v>0.65322752604768031</v>
      </c>
      <c r="F9" s="93" t="s">
        <v>152</v>
      </c>
      <c r="G9" s="94" t="s">
        <v>153</v>
      </c>
      <c r="H9" s="94" t="s">
        <v>154</v>
      </c>
      <c r="I9" s="257">
        <f>K16</f>
        <v>7.2268633263063528E-2</v>
      </c>
      <c r="J9" s="305" t="str">
        <f>IF(I9="","",IF(I9&gt;0.1,"Yes", "No"))</f>
        <v>No</v>
      </c>
      <c r="K9" s="48" t="s">
        <v>155</v>
      </c>
      <c r="P9" s="170"/>
    </row>
    <row r="10" spans="1:16" ht="13.5" customHeight="1" x14ac:dyDescent="0.2">
      <c r="B10" s="91" t="s">
        <v>156</v>
      </c>
      <c r="C10" s="84">
        <v>0.499</v>
      </c>
      <c r="D10" s="251">
        <f>'Correction Factors'!F10</f>
        <v>0.61417028949059238</v>
      </c>
      <c r="P10" s="170"/>
    </row>
    <row r="11" spans="1:16" ht="13.5" customHeight="1" x14ac:dyDescent="0.2">
      <c r="B11" s="91" t="s">
        <v>157</v>
      </c>
      <c r="C11" s="85">
        <v>0.497</v>
      </c>
      <c r="D11" s="251">
        <f>'Correction Factors'!H10</f>
        <v>0.57509713224943926</v>
      </c>
      <c r="P11" s="170"/>
    </row>
    <row r="12" spans="1:16" ht="13.5" customHeight="1" thickBot="1" x14ac:dyDescent="0.25">
      <c r="B12" s="92" t="s">
        <v>158</v>
      </c>
      <c r="C12" s="85">
        <v>0.45900000000000002</v>
      </c>
      <c r="D12" s="252">
        <f>'Correction Factors'!D10</f>
        <v>0.55246161214556533</v>
      </c>
      <c r="F12" s="7" t="str">
        <f>"ANOVA calculated from Lot "&amp;$C$4&amp;" data for 100 to 650g"</f>
        <v>ANOVA calculated from Lot Testfabrics  Lot 3345 data for 100 to 650g</v>
      </c>
      <c r="H12" s="7"/>
      <c r="P12" s="170"/>
    </row>
    <row r="13" spans="1:16" ht="13.5" customHeight="1" thickBot="1" x14ac:dyDescent="0.25">
      <c r="B13" s="90" t="s">
        <v>159</v>
      </c>
      <c r="C13" s="83">
        <v>0.43099999999999999</v>
      </c>
      <c r="D13" s="250">
        <f>'Correction Factors'!J13</f>
        <v>0.49389923118630014</v>
      </c>
      <c r="F13" s="51" t="s">
        <v>160</v>
      </c>
      <c r="G13" s="197" t="s">
        <v>161</v>
      </c>
      <c r="H13" s="198" t="s">
        <v>162</v>
      </c>
      <c r="I13" s="198" t="s">
        <v>163</v>
      </c>
      <c r="J13" s="198" t="s">
        <v>164</v>
      </c>
      <c r="K13" s="198" t="s">
        <v>165</v>
      </c>
      <c r="L13" s="199" t="s">
        <v>166</v>
      </c>
      <c r="O13" s="5"/>
      <c r="P13" s="170"/>
    </row>
    <row r="14" spans="1:16" ht="13.5" customHeight="1" x14ac:dyDescent="0.2">
      <c r="B14" s="91" t="s">
        <v>167</v>
      </c>
      <c r="C14" s="85">
        <v>0.40400000000000003</v>
      </c>
      <c r="D14" s="251">
        <f>'Correction Factors'!F13</f>
        <v>0.45816477832505359</v>
      </c>
      <c r="F14" s="195" t="s">
        <v>168</v>
      </c>
      <c r="G14" s="258">
        <f>SUMSQ(SUM(C9:D12),SUM(C13:D16),SUM(C17:D20),SUM(C21:D24),SUM(C25:D28))/COUNT(C9:D12)-SUM(C9:D28)^2/COUNT(C9:D28)</f>
        <v>0.43326658937278228</v>
      </c>
      <c r="H14" s="196">
        <v>4</v>
      </c>
      <c r="I14" s="261">
        <f>G14/H14</f>
        <v>0.10831664734319557</v>
      </c>
      <c r="J14" s="261">
        <f>I14/$I$17</f>
        <v>100.46055364314566</v>
      </c>
      <c r="K14" s="261">
        <f>FDIST(J14,H14,$H$17)</f>
        <v>6.3359911473506246E-17</v>
      </c>
      <c r="L14" s="263">
        <f>FINV(0.1,H14,$H$17)</f>
        <v>2.1422348562884994</v>
      </c>
      <c r="P14" s="170"/>
    </row>
    <row r="15" spans="1:16" ht="13.5" customHeight="1" x14ac:dyDescent="0.2">
      <c r="B15" s="91" t="s">
        <v>169</v>
      </c>
      <c r="C15" s="85">
        <v>0.379</v>
      </c>
      <c r="D15" s="251">
        <f>'Correction Factors'!H13</f>
        <v>0.43123854132497247</v>
      </c>
      <c r="F15" s="182" t="s">
        <v>170</v>
      </c>
      <c r="G15" s="259">
        <f>SUMSQ(SUM(C9:C28),SUM(D9:D28))/COUNT(C9:C28)-SUM(C9:D28)^2/COUNT(C9:D28)</f>
        <v>1.9527681389180707E-2</v>
      </c>
      <c r="H15" s="193">
        <v>1</v>
      </c>
      <c r="I15" s="262">
        <f>G15/H15</f>
        <v>1.9527681389180707E-2</v>
      </c>
      <c r="J15" s="262">
        <f>I15/$I$17</f>
        <v>18.111358981674417</v>
      </c>
      <c r="K15" s="262">
        <f>FDIST(J15,H15,$H$17)</f>
        <v>1.8826448543656649E-4</v>
      </c>
      <c r="L15" s="264">
        <f>FINV(0.1,H15,$H$17)</f>
        <v>2.8806945171617104</v>
      </c>
      <c r="M15" s="6"/>
      <c r="P15" s="170"/>
    </row>
    <row r="16" spans="1:16" ht="13.5" customHeight="1" thickBot="1" x14ac:dyDescent="0.25">
      <c r="B16" s="92" t="s">
        <v>171</v>
      </c>
      <c r="C16" s="86">
        <v>0.35699999999999998</v>
      </c>
      <c r="D16" s="252">
        <f>'Correction Factors'!D13</f>
        <v>0.40116505888512255</v>
      </c>
      <c r="F16" s="182" t="s">
        <v>172</v>
      </c>
      <c r="G16" s="259">
        <f>SUMSQ(SUM(C9:C12),SUM(D9:D12),SUM(C13:C16),SUM(D13:D16),SUM(C17:C20),SUM(D17:D20),SUM(C21:C24),SUM(D21:D24),SUM(C25:C28),SUM(D25:D28))/COUNT(C9:C12)-SUM(C9:D28)^2/COUNT(C9:D28)-G14-G15</f>
        <v>1.0339906261569887E-2</v>
      </c>
      <c r="H16" s="193">
        <v>4</v>
      </c>
      <c r="I16" s="262">
        <f>G16/H16</f>
        <v>2.5849765653924717E-3</v>
      </c>
      <c r="J16" s="262">
        <f>I16/$I$17</f>
        <v>2.3974909054475861</v>
      </c>
      <c r="K16" s="194">
        <f>IF(G16=0,"",FDIST(J16,H16,$H$17))</f>
        <v>7.2268633263063528E-2</v>
      </c>
      <c r="L16" s="264">
        <f>FINV(0.1,H16,$H$17)</f>
        <v>2.1422348562884994</v>
      </c>
      <c r="P16" s="170"/>
    </row>
    <row r="17" spans="2:16" ht="13.5" customHeight="1" x14ac:dyDescent="0.2">
      <c r="B17" s="91" t="s">
        <v>173</v>
      </c>
      <c r="C17" s="85">
        <v>0.35799999999999998</v>
      </c>
      <c r="D17" s="250">
        <f>'Correction Factors'!J16</f>
        <v>0.38959259685169045</v>
      </c>
      <c r="F17" s="182" t="s">
        <v>174</v>
      </c>
      <c r="G17" s="259">
        <f>G18-G14-G15-G16</f>
        <v>3.2346023413714065E-2</v>
      </c>
      <c r="H17" s="193">
        <v>30</v>
      </c>
      <c r="I17" s="262">
        <f>G17/H17</f>
        <v>1.0782007804571354E-3</v>
      </c>
      <c r="J17" s="225"/>
      <c r="K17" s="226"/>
      <c r="L17" s="227"/>
      <c r="P17" s="170"/>
    </row>
    <row r="18" spans="2:16" ht="13.5" customHeight="1" thickBot="1" x14ac:dyDescent="0.25">
      <c r="B18" s="91" t="s">
        <v>175</v>
      </c>
      <c r="C18" s="85">
        <v>0.33100000000000002</v>
      </c>
      <c r="D18" s="251">
        <f>'Correction Factors'!F16</f>
        <v>0.35537797658280623</v>
      </c>
      <c r="F18" s="231" t="s">
        <v>176</v>
      </c>
      <c r="G18" s="260">
        <f>SUMSQ(C9:D28)-SUM(C9:D28)^2/COUNT(C9:D28)</f>
        <v>0.49548020043724694</v>
      </c>
      <c r="H18" s="232">
        <v>39</v>
      </c>
      <c r="I18" s="228"/>
      <c r="J18" s="229"/>
      <c r="K18" s="228"/>
      <c r="L18" s="230"/>
      <c r="P18" s="170"/>
    </row>
    <row r="19" spans="2:16" ht="13.5" customHeight="1" x14ac:dyDescent="0.2">
      <c r="B19" s="91" t="s">
        <v>177</v>
      </c>
      <c r="C19" s="85">
        <v>0.307</v>
      </c>
      <c r="D19" s="251">
        <f>'Correction Factors'!H16</f>
        <v>0.32459270917454902</v>
      </c>
      <c r="P19" s="170"/>
    </row>
    <row r="20" spans="2:16" ht="13.5" customHeight="1" thickBot="1" x14ac:dyDescent="0.25">
      <c r="B20" s="92" t="s">
        <v>178</v>
      </c>
      <c r="C20" s="86">
        <v>0.29599999999999999</v>
      </c>
      <c r="D20" s="252">
        <f>'Correction Factors'!D16</f>
        <v>0.30463069265257653</v>
      </c>
      <c r="P20" s="170"/>
    </row>
    <row r="21" spans="2:16" ht="13.5" customHeight="1" x14ac:dyDescent="0.2">
      <c r="B21" s="91" t="s">
        <v>179</v>
      </c>
      <c r="C21" s="87">
        <v>0.3</v>
      </c>
      <c r="D21" s="253">
        <f>'Correction Factors'!J19</f>
        <v>0.34125782735751686</v>
      </c>
      <c r="P21" s="170"/>
    </row>
    <row r="22" spans="2:16" ht="13.5" customHeight="1" x14ac:dyDescent="0.2">
      <c r="B22" s="91" t="s">
        <v>180</v>
      </c>
      <c r="C22" s="88">
        <v>0.28699999999999998</v>
      </c>
      <c r="D22" s="254">
        <f>'Correction Factors'!F19</f>
        <v>0.31068925603859548</v>
      </c>
      <c r="P22" s="170"/>
    </row>
    <row r="23" spans="2:16" ht="13.5" customHeight="1" x14ac:dyDescent="0.2">
      <c r="B23" s="91" t="s">
        <v>181</v>
      </c>
      <c r="C23" s="88">
        <v>0.255</v>
      </c>
      <c r="D23" s="254">
        <f>'Correction Factors'!H19</f>
        <v>0.2867780628584522</v>
      </c>
      <c r="P23" s="170"/>
    </row>
    <row r="24" spans="2:16" ht="13.5" customHeight="1" thickBot="1" x14ac:dyDescent="0.25">
      <c r="B24" s="92" t="s">
        <v>182</v>
      </c>
      <c r="C24" s="89">
        <v>0.24199999999999999</v>
      </c>
      <c r="D24" s="255">
        <f>'Correction Factors'!D19</f>
        <v>0.25970837492004861</v>
      </c>
      <c r="P24" s="170"/>
    </row>
    <row r="25" spans="2:16" ht="13.5" customHeight="1" x14ac:dyDescent="0.2">
      <c r="B25" s="91" t="s">
        <v>183</v>
      </c>
      <c r="C25" s="83">
        <v>0.28000000000000003</v>
      </c>
      <c r="D25" s="250">
        <f>'Correction Factors'!J22</f>
        <v>0.30482343559217157</v>
      </c>
      <c r="P25" s="179"/>
    </row>
    <row r="26" spans="2:16" ht="13.5" customHeight="1" x14ac:dyDescent="0.2">
      <c r="B26" s="91" t="s">
        <v>184</v>
      </c>
      <c r="C26" s="85">
        <v>0.26400000000000001</v>
      </c>
      <c r="D26" s="251">
        <f>'Correction Factors'!F22</f>
        <v>0.27886337149891438</v>
      </c>
      <c r="P26" s="179"/>
    </row>
    <row r="27" spans="2:16" ht="13.5" customHeight="1" x14ac:dyDescent="0.2">
      <c r="B27" s="91" t="s">
        <v>185</v>
      </c>
      <c r="C27" s="85">
        <v>0.24099999999999999</v>
      </c>
      <c r="D27" s="251">
        <f>'Correction Factors'!H22</f>
        <v>0.2560636885629029</v>
      </c>
      <c r="P27" s="179"/>
    </row>
    <row r="28" spans="2:16" ht="13.5" customHeight="1" thickBot="1" x14ac:dyDescent="0.25">
      <c r="B28" s="92" t="s">
        <v>186</v>
      </c>
      <c r="C28" s="86">
        <v>0.23</v>
      </c>
      <c r="D28" s="252">
        <f>'Correction Factors'!D22</f>
        <v>0.23700056260432792</v>
      </c>
      <c r="P28" s="179"/>
    </row>
    <row r="29" spans="2:16" ht="13.5" customHeight="1" x14ac:dyDescent="0.2">
      <c r="B29" s="48"/>
      <c r="C29" s="48"/>
      <c r="D29" s="48"/>
      <c r="P29" s="179"/>
    </row>
    <row r="30" spans="2:16" ht="13.5" customHeight="1" thickBot="1" x14ac:dyDescent="0.25">
      <c r="B30" s="48"/>
      <c r="C30" s="48"/>
      <c r="D30" s="48"/>
      <c r="P30" s="179"/>
    </row>
    <row r="31" spans="2:16" ht="13.5" customHeight="1" x14ac:dyDescent="0.2">
      <c r="B31" s="48"/>
      <c r="C31" s="306" t="s">
        <v>187</v>
      </c>
      <c r="D31" s="307">
        <f>SLOPE(C9:C28,D9:D28)</f>
        <v>0.73670714257495784</v>
      </c>
      <c r="P31" s="179"/>
    </row>
    <row r="32" spans="2:16" ht="13.5" customHeight="1" x14ac:dyDescent="0.2">
      <c r="B32" s="48"/>
      <c r="C32" s="183" t="s">
        <v>188</v>
      </c>
      <c r="D32" s="265">
        <f>INTERCEPT(C9:C28,D9:D28)</f>
        <v>5.8873255758079945E-2</v>
      </c>
      <c r="P32" s="179"/>
    </row>
    <row r="33" spans="1:16" ht="13.5" customHeight="1" x14ac:dyDescent="0.2">
      <c r="B33" s="48"/>
      <c r="C33" s="62" t="s">
        <v>189</v>
      </c>
      <c r="D33" s="266">
        <f>STEYX(C9:C28,D9:D28)</f>
        <v>9.5983593002971993E-3</v>
      </c>
      <c r="P33" s="179"/>
    </row>
    <row r="34" spans="1:16" ht="13.5" customHeight="1" thickBot="1" x14ac:dyDescent="0.25">
      <c r="B34" s="48"/>
      <c r="C34" s="184" t="s">
        <v>190</v>
      </c>
      <c r="D34" s="267">
        <f>RSQ(C9:C28,D9:D28)</f>
        <v>0.99015929951570214</v>
      </c>
      <c r="P34" s="179"/>
    </row>
    <row r="35" spans="1:16" ht="13.5" customHeight="1" x14ac:dyDescent="0.2">
      <c r="B35" s="48"/>
      <c r="C35" s="48"/>
      <c r="D35" s="48"/>
      <c r="P35" s="179"/>
    </row>
    <row r="36" spans="1:16" ht="13.5" customHeight="1" x14ac:dyDescent="0.2">
      <c r="E36" s="5"/>
      <c r="P36" s="179"/>
    </row>
    <row r="37" spans="1:16" ht="13.5" customHeight="1" thickBot="1" x14ac:dyDescent="0.25">
      <c r="B37" s="7" t="s">
        <v>191</v>
      </c>
      <c r="P37" s="179"/>
    </row>
    <row r="38" spans="1:16" ht="13.5" customHeight="1" thickBot="1" x14ac:dyDescent="0.25">
      <c r="B38" s="51" t="s">
        <v>192</v>
      </c>
      <c r="C38" s="197" t="s">
        <v>193</v>
      </c>
      <c r="D38" s="199" t="str">
        <f>"Lot "&amp;C4</f>
        <v>Lot Testfabrics  Lot 3345</v>
      </c>
      <c r="P38" s="179"/>
    </row>
    <row r="39" spans="1:16" ht="13.5" customHeight="1" x14ac:dyDescent="0.2">
      <c r="B39" s="308">
        <v>100</v>
      </c>
      <c r="C39" s="268">
        <f>AVERAGE(C9:C12)</f>
        <v>0.49575000000000002</v>
      </c>
      <c r="D39" s="269">
        <f>AVERAGE(D9:D12)</f>
        <v>0.5987391399833194</v>
      </c>
      <c r="P39" s="179"/>
    </row>
    <row r="40" spans="1:16" ht="13.5" customHeight="1" x14ac:dyDescent="0.2">
      <c r="B40" s="185">
        <v>200</v>
      </c>
      <c r="C40" s="270">
        <f>AVERAGE(C13:C16)</f>
        <v>0.39274999999999999</v>
      </c>
      <c r="D40" s="271">
        <f>AVERAGE(D13:D16)</f>
        <v>0.44611690243036217</v>
      </c>
      <c r="P40" s="179"/>
    </row>
    <row r="41" spans="1:16" ht="13.5" customHeight="1" x14ac:dyDescent="0.2">
      <c r="B41" s="185">
        <v>350</v>
      </c>
      <c r="C41" s="270">
        <f>AVERAGE(C17:C20)</f>
        <v>0.32300000000000001</v>
      </c>
      <c r="D41" s="271">
        <f>AVERAGE(D17:D20)</f>
        <v>0.34354849381540559</v>
      </c>
      <c r="P41" s="179"/>
    </row>
    <row r="42" spans="1:16" ht="13.5" customHeight="1" x14ac:dyDescent="0.2">
      <c r="B42" s="185">
        <v>500</v>
      </c>
      <c r="C42" s="270">
        <f>AVERAGE(C21:C24)</f>
        <v>0.27100000000000002</v>
      </c>
      <c r="D42" s="271">
        <f>AVERAGE(D21:D24)</f>
        <v>0.29960838029365328</v>
      </c>
      <c r="E42" s="5"/>
      <c r="P42" s="179"/>
    </row>
    <row r="43" spans="1:16" ht="13.5" customHeight="1" thickBot="1" x14ac:dyDescent="0.25">
      <c r="B43" s="186">
        <v>650</v>
      </c>
      <c r="C43" s="272">
        <f>AVERAGE(C25:C28)</f>
        <v>0.25375000000000003</v>
      </c>
      <c r="D43" s="273">
        <f>AVERAGE(D25:D28)</f>
        <v>0.26918776456457916</v>
      </c>
      <c r="P43" s="179"/>
    </row>
    <row r="44" spans="1:16" ht="13.5" customHeight="1" x14ac:dyDescent="0.2">
      <c r="P44" s="179"/>
    </row>
    <row r="45" spans="1:16" ht="13.5" customHeight="1" x14ac:dyDescent="0.2">
      <c r="A45" s="170"/>
      <c r="B45" s="170"/>
      <c r="C45" s="170"/>
      <c r="D45" s="180"/>
      <c r="E45" s="170"/>
      <c r="F45" s="170"/>
      <c r="G45" s="170"/>
      <c r="H45" s="170"/>
      <c r="I45" s="170"/>
      <c r="J45" s="170"/>
      <c r="K45" s="170"/>
      <c r="L45" s="170"/>
      <c r="M45" s="170"/>
      <c r="N45" s="170"/>
      <c r="O45" s="170"/>
      <c r="P45" s="179"/>
    </row>
  </sheetData>
  <sheetProtection algorithmName="SHA-512" hashValue="LG2I+k5cm3lasqd330Sc7hedKjfe/8hOaoX/mgdfnZWm5wdOUnqOoH0KOg8JbsbQODMZlOBlNsoAdwj1gld3wg==" saltValue="Gm1Mao6Zs4n+bUVjswiwEg==" spinCount="100000" sheet="1" selectLockedCells="1"/>
  <conditionalFormatting sqref="N13 O16">
    <cfRule type="cellIs" dxfId="0" priority="2" stopIfTrue="1" operator="equal">
      <formula>"""Accept the lot"""</formula>
    </cfRule>
  </conditionalFormatting>
  <pageMargins left="0.7" right="0.7" top="0.75" bottom="0.75" header="0.3" footer="0.3"/>
  <pageSetup scale="5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showGridLines="0" zoomScale="80" zoomScaleNormal="80" workbookViewId="0">
      <selection activeCell="B11" sqref="B11:C11"/>
    </sheetView>
  </sheetViews>
  <sheetFormatPr defaultColWidth="9.140625" defaultRowHeight="16.5" x14ac:dyDescent="0.3"/>
  <cols>
    <col min="1" max="1" width="4.5703125" style="128" customWidth="1"/>
    <col min="2" max="2" width="41.5703125" style="128" customWidth="1"/>
    <col min="3" max="3" width="43.140625" style="127" customWidth="1"/>
    <col min="4" max="4" width="4.5703125" style="128" customWidth="1"/>
    <col min="5" max="5" width="3.85546875" style="128" customWidth="1"/>
    <col min="6" max="16384" width="9.140625" style="128"/>
  </cols>
  <sheetData>
    <row r="1" spans="2:7" ht="17.25" thickBot="1" x14ac:dyDescent="0.35">
      <c r="B1" s="127"/>
      <c r="C1" s="128"/>
      <c r="E1" s="107"/>
    </row>
    <row r="2" spans="2:7" ht="18" thickBot="1" x14ac:dyDescent="0.35">
      <c r="B2" s="317" t="s">
        <v>194</v>
      </c>
      <c r="C2" s="318"/>
      <c r="E2" s="107"/>
    </row>
    <row r="3" spans="2:7" x14ac:dyDescent="0.3">
      <c r="B3" s="129" t="s">
        <v>195</v>
      </c>
      <c r="C3" s="130" t="s">
        <v>196</v>
      </c>
      <c r="D3" s="99"/>
      <c r="E3" s="100"/>
      <c r="F3" s="99"/>
      <c r="G3" s="99"/>
    </row>
    <row r="4" spans="2:7" x14ac:dyDescent="0.3">
      <c r="B4" s="131" t="s">
        <v>197</v>
      </c>
      <c r="C4" s="132" t="str">
        <f>INDEX(B13:B56,COUNTA(B13:B56),1)</f>
        <v>v2.3</v>
      </c>
      <c r="D4" s="99"/>
      <c r="E4" s="100"/>
      <c r="F4" s="99"/>
      <c r="G4" s="99"/>
    </row>
    <row r="5" spans="2:7" x14ac:dyDescent="0.3">
      <c r="B5" s="131" t="s">
        <v>198</v>
      </c>
      <c r="C5" s="133">
        <f>IF(MAX(B13:C98)=0,"No Revisions Dates Entered",MAX(C13:C98))</f>
        <v>44755</v>
      </c>
      <c r="D5" s="99"/>
      <c r="E5" s="100"/>
      <c r="F5" s="99"/>
      <c r="G5" s="99"/>
    </row>
    <row r="6" spans="2:7" x14ac:dyDescent="0.3">
      <c r="B6" s="131" t="s">
        <v>199</v>
      </c>
      <c r="C6" s="134" t="str">
        <f ca="1">MID(CELL("filename",A1), FIND("]", CELL("filename", A1))+ 1, 255)</f>
        <v>Version Control</v>
      </c>
      <c r="D6" s="99"/>
      <c r="E6" s="100"/>
      <c r="F6" s="99"/>
      <c r="G6" s="99"/>
    </row>
    <row r="7" spans="2:7" ht="30" customHeight="1" x14ac:dyDescent="0.3">
      <c r="B7" s="135" t="s">
        <v>200</v>
      </c>
      <c r="C7" s="136" t="str">
        <f ca="1">MID(CELL("FILENAME",F16),FIND("[",CELL("FILENAME",F16))+1,FIND("]",CELL("FILENAME",F16))-FIND("[",CELL("FILENAME",F16))-1)</f>
        <v>Lot AATCC 3345_correction_factor.xlsx</v>
      </c>
      <c r="D7" s="99"/>
      <c r="E7" s="100"/>
      <c r="F7" s="99"/>
      <c r="G7" s="99"/>
    </row>
    <row r="8" spans="2:7" ht="17.25" thickBot="1" x14ac:dyDescent="0.35">
      <c r="B8" s="137" t="s">
        <v>201</v>
      </c>
      <c r="C8" s="138" t="str">
        <f>'Extractor Tests Raw Data'!C25</f>
        <v>10/16/2023-10/27/2023</v>
      </c>
      <c r="D8" s="99"/>
      <c r="E8" s="100"/>
      <c r="F8" s="99"/>
      <c r="G8" s="99"/>
    </row>
    <row r="9" spans="2:7" x14ac:dyDescent="0.3">
      <c r="B9" s="99"/>
      <c r="C9" s="99"/>
      <c r="D9" s="99"/>
      <c r="E9" s="100"/>
      <c r="F9" s="99"/>
      <c r="G9" s="99"/>
    </row>
    <row r="10" spans="2:7" ht="17.25" thickBot="1" x14ac:dyDescent="0.35">
      <c r="B10" s="99"/>
      <c r="C10" s="99"/>
      <c r="D10" s="99"/>
      <c r="E10" s="100"/>
      <c r="F10" s="99"/>
      <c r="G10" s="99"/>
    </row>
    <row r="11" spans="2:7" ht="18" thickBot="1" x14ac:dyDescent="0.35">
      <c r="B11" s="317" t="s">
        <v>202</v>
      </c>
      <c r="C11" s="318"/>
      <c r="D11" s="99"/>
      <c r="E11" s="100"/>
      <c r="F11" s="99"/>
      <c r="G11" s="99"/>
    </row>
    <row r="12" spans="2:7" ht="17.25" x14ac:dyDescent="0.35">
      <c r="B12" s="139" t="s">
        <v>203</v>
      </c>
      <c r="C12" s="140" t="s">
        <v>119</v>
      </c>
      <c r="D12" s="99"/>
      <c r="E12" s="100"/>
      <c r="F12" s="99"/>
      <c r="G12" s="99"/>
    </row>
    <row r="13" spans="2:7" x14ac:dyDescent="0.3">
      <c r="B13" s="154" t="s">
        <v>204</v>
      </c>
      <c r="C13" s="141">
        <v>42061</v>
      </c>
      <c r="D13" s="99"/>
      <c r="E13" s="100"/>
      <c r="F13" s="99"/>
      <c r="G13" s="99"/>
    </row>
    <row r="14" spans="2:7" x14ac:dyDescent="0.3">
      <c r="B14" s="142" t="s">
        <v>205</v>
      </c>
      <c r="C14" s="143">
        <v>42160</v>
      </c>
      <c r="D14" s="144"/>
      <c r="E14" s="100"/>
      <c r="F14" s="99"/>
      <c r="G14" s="99"/>
    </row>
    <row r="15" spans="2:7" x14ac:dyDescent="0.3">
      <c r="B15" s="142" t="s">
        <v>206</v>
      </c>
      <c r="C15" s="143">
        <v>42923</v>
      </c>
      <c r="E15" s="107"/>
    </row>
    <row r="16" spans="2:7" x14ac:dyDescent="0.3">
      <c r="B16" s="145" t="s">
        <v>207</v>
      </c>
      <c r="C16" s="143">
        <v>43452</v>
      </c>
      <c r="E16" s="107"/>
    </row>
    <row r="17" spans="1:5" x14ac:dyDescent="0.3">
      <c r="B17" s="146" t="s">
        <v>208</v>
      </c>
      <c r="C17" s="143">
        <v>44755</v>
      </c>
      <c r="E17" s="107"/>
    </row>
    <row r="18" spans="1:5" x14ac:dyDescent="0.3">
      <c r="B18" s="147"/>
      <c r="C18" s="148"/>
      <c r="E18" s="107"/>
    </row>
    <row r="19" spans="1:5" x14ac:dyDescent="0.3">
      <c r="B19" s="147"/>
      <c r="C19" s="148"/>
      <c r="E19" s="107"/>
    </row>
    <row r="20" spans="1:5" x14ac:dyDescent="0.3">
      <c r="B20" s="147"/>
      <c r="C20" s="148"/>
      <c r="E20" s="107"/>
    </row>
    <row r="21" spans="1:5" x14ac:dyDescent="0.3">
      <c r="B21" s="147"/>
      <c r="C21" s="148"/>
      <c r="E21" s="107"/>
    </row>
    <row r="22" spans="1:5" x14ac:dyDescent="0.3">
      <c r="B22" s="147"/>
      <c r="C22" s="148"/>
      <c r="E22" s="107"/>
    </row>
    <row r="23" spans="1:5" x14ac:dyDescent="0.3">
      <c r="B23" s="147"/>
      <c r="C23" s="148"/>
      <c r="E23" s="107"/>
    </row>
    <row r="24" spans="1:5" x14ac:dyDescent="0.3">
      <c r="B24" s="149"/>
      <c r="C24" s="148"/>
      <c r="E24" s="107"/>
    </row>
    <row r="25" spans="1:5" x14ac:dyDescent="0.3">
      <c r="B25" s="150"/>
      <c r="C25" s="148"/>
      <c r="E25" s="107"/>
    </row>
    <row r="26" spans="1:5" ht="17.25" thickBot="1" x14ac:dyDescent="0.35">
      <c r="B26" s="151"/>
      <c r="C26" s="152"/>
      <c r="E26" s="107"/>
    </row>
    <row r="27" spans="1:5" x14ac:dyDescent="0.3">
      <c r="E27" s="107"/>
    </row>
    <row r="28" spans="1:5" x14ac:dyDescent="0.3">
      <c r="A28" s="107"/>
      <c r="B28" s="107"/>
      <c r="C28" s="153"/>
      <c r="D28" s="107"/>
      <c r="E28" s="107"/>
    </row>
  </sheetData>
  <sheetProtection algorithmName="SHA-512" hashValue="SoPRZogshBKM9qCi/OleB5LJpjRe6gi1BfcFulc/wugX2wsc9PwdfvdY2ghcKSVU3Q5bQD5JbDeRBL4q0xTCzQ==" saltValue="JLwgL2MnuPM2qGxIrHHY9Q==" spinCount="100000" sheet="1" selectLockedCells="1"/>
  <mergeCells count="2">
    <mergeCell ref="B2:C2"/>
    <mergeCell ref="B11:C1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Props1.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81FF07D2-C988-4EE7-8E43-F5F51A4ACCF3}">
  <ds:schemaRefs>
    <ds:schemaRef ds:uri="http://schemas.microsoft.com/office/2006/metadata/properties"/>
    <ds:schemaRef ds:uri="http://schemas.microsoft.com/office/infopath/2007/PartnerControl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Material Verification</vt:lpstr>
      <vt:lpstr>Extractor Tests Raw Data</vt:lpstr>
      <vt:lpstr>Report Sign-Off Block</vt:lpstr>
      <vt:lpstr>Correction Factors</vt:lpstr>
      <vt:lpstr>Analysis of Variance</vt:lpstr>
      <vt:lpstr>Version Control</vt:lpstr>
      <vt:lpstr>Interaction Plot</vt:lpstr>
      <vt:lpstr>Least Squares Plot</vt:lpstr>
    </vt:vector>
  </TitlesOfParts>
  <Manager/>
  <Company>Whirlpool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Sutherland</dc:creator>
  <cp:keywords/>
  <dc:description/>
  <cp:lastModifiedBy>Shapiro, Carl</cp:lastModifiedBy>
  <cp:revision/>
  <cp:lastPrinted>2024-05-28T16:57:39Z</cp:lastPrinted>
  <dcterms:created xsi:type="dcterms:W3CDTF">2003-09-16T13:33:14Z</dcterms:created>
  <dcterms:modified xsi:type="dcterms:W3CDTF">2025-01-16T19:22:05Z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