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showInkAnnotation="0" codeName="ThisWorkbook" hidePivotFieldList="1" checkCompatibility="1" autoCompressPictures="0"/>
  <mc:AlternateContent xmlns:mc="http://schemas.openxmlformats.org/markup-compatibility/2006">
    <mc:Choice Requires="x15">
      <x15ac:absPath xmlns:x15ac="http://schemas.microsoft.com/office/spreadsheetml/2010/11/ac" url="/Users/uiq/Documents/PA Template/"/>
    </mc:Choice>
  </mc:AlternateContent>
  <xr:revisionPtr revIDLastSave="0" documentId="13_ncr:1_{F8072CB5-68D4-4547-881B-1B0826BDAF6A}" xr6:coauthVersionLast="47" xr6:coauthVersionMax="47" xr10:uidLastSave="{00000000-0000-0000-0000-000000000000}"/>
  <bookViews>
    <workbookView xWindow="0" yWindow="500" windowWidth="38400" windowHeight="20260" tabRatio="924" xr2:uid="{00000000-000D-0000-FFFF-FFFF00000000}"/>
  </bookViews>
  <sheets>
    <sheet name="Template Guide" sheetId="24" r:id="rId1"/>
    <sheet name="Summary Schedule" sheetId="8" r:id="rId2"/>
    <sheet name="Annual Escalation Rates" sheetId="11" r:id="rId3"/>
    <sheet name="Sch1-Ann Cost Sav &amp; Pymts" sheetId="21" r:id="rId4"/>
    <sheet name="Sch1u-Ann Cost Sav &amp; Pymts" sheetId="23" state="hidden" r:id="rId5"/>
    <sheet name="Sch1ee-Ann Cost Sav &amp; Pymts" sheetId="28" state="hidden" r:id="rId6"/>
    <sheet name="Sch1esa-ESA Pymts" sheetId="29" state="hidden" r:id="rId7"/>
    <sheet name="Sch2a-Imp Price by ECM" sheetId="2" r:id="rId8"/>
    <sheet name="Sch2b-Project Imp Pricing" sheetId="19" r:id="rId9"/>
    <sheet name="Sch3-Perf Period Cash Flow" sheetId="3" r:id="rId10"/>
    <sheet name="Amortization-HIDDEN" sheetId="10" state="hidden" r:id="rId11"/>
    <sheet name="Sch4-Cost Savings by ECM" sheetId="4" r:id="rId12"/>
    <sheet name="Sch4g-GHG" sheetId="30" r:id="rId13"/>
    <sheet name="Sch5-Cancellation Ceilings" sheetId="5" r:id="rId14"/>
    <sheet name="Sheet1" sheetId="33" r:id="rId15"/>
    <sheet name="Sheet2" sheetId="34" r:id="rId16"/>
    <sheet name="Sheet3" sheetId="35" r:id="rId17"/>
    <sheet name="GHG Emissions" sheetId="31" r:id="rId18"/>
    <sheet name="eGRID subregion name" sheetId="32" r:id="rId19"/>
    <sheet name="Itemized Costs-HIDDEN" sheetId="12" r:id="rId20"/>
    <sheet name="ECM" sheetId="13" state="hidden" r:id="rId21"/>
    <sheet name="Amortization-HIDDEN-Q" sheetId="25" state="hidden" r:id="rId22"/>
    <sheet name="Amortization-HIDDEN-B" sheetId="26" state="hidden" r:id="rId23"/>
    <sheet name="Amortization-HIDDEN-M" sheetId="27" state="hidden" r:id="rId24"/>
    <sheet name="Scratch Sheet-1" sheetId="14" state="hidden" r:id="rId25"/>
    <sheet name="Scratch Sheet-2" sheetId="15" state="hidden" r:id="rId26"/>
    <sheet name="Scratch Sheet-3" sheetId="16" state="hidden" r:id="rId27"/>
    <sheet name="Scratch Sheet-4" sheetId="17" state="hidden" r:id="rId28"/>
    <sheet name="Scratch Sheet-5" sheetId="18" state="hidden" r:id="rId29"/>
  </sheets>
  <externalReferences>
    <externalReference r:id="rId30"/>
  </externalReferences>
  <definedNames>
    <definedName name="Area_to_Sort" localSheetId="19">#REF!</definedName>
    <definedName name="ECM" localSheetId="28">ECM!#REF!</definedName>
    <definedName name="ECM">ECM!$A$3:$A$22</definedName>
    <definedName name="MnV">ECM!$D$2:$D$5</definedName>
    <definedName name="PA">ECM!$D$6:$D$9</definedName>
    <definedName name="Total_Payment" localSheetId="19">Scheduled_Payment+Extra_Payment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3" i="3" l="1"/>
  <c r="E33" i="3" s="1"/>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K15" i="30" l="1"/>
  <c r="K14" i="30"/>
  <c r="K13" i="30"/>
  <c r="K12" i="30"/>
  <c r="K11" i="30"/>
  <c r="K10" i="30"/>
  <c r="K9" i="30"/>
  <c r="K8" i="30"/>
  <c r="Y257" i="4" l="1"/>
  <c r="Y256" i="4"/>
  <c r="Y255" i="4"/>
  <c r="Y254" i="4"/>
  <c r="Y253" i="4"/>
  <c r="Y252" i="4"/>
  <c r="Y251" i="4"/>
  <c r="Y250" i="4"/>
  <c r="Y249" i="4"/>
  <c r="Y248" i="4"/>
  <c r="Y247" i="4"/>
  <c r="Y246" i="4"/>
  <c r="Y245" i="4"/>
  <c r="Y244" i="4"/>
  <c r="Y243" i="4"/>
  <c r="Y242" i="4"/>
  <c r="Y241" i="4"/>
  <c r="Y240" i="4"/>
  <c r="Y239" i="4"/>
  <c r="Y238" i="4"/>
  <c r="Y237" i="4"/>
  <c r="Y236" i="4"/>
  <c r="Y235" i="4"/>
  <c r="Y234" i="4"/>
  <c r="Y233" i="4"/>
  <c r="Y232" i="4"/>
  <c r="Y231" i="4"/>
  <c r="Y230" i="4"/>
  <c r="Y229" i="4"/>
  <c r="Y228" i="4"/>
  <c r="Y227" i="4"/>
  <c r="Y226" i="4"/>
  <c r="Y225" i="4"/>
  <c r="Y224" i="4"/>
  <c r="Y223" i="4"/>
  <c r="Y222" i="4"/>
  <c r="Y221" i="4"/>
  <c r="Y220" i="4"/>
  <c r="Y219" i="4"/>
  <c r="Y218" i="4"/>
  <c r="Y217" i="4"/>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56" i="4"/>
  <c r="Y155" i="4"/>
  <c r="Y154" i="4"/>
  <c r="Y153" i="4"/>
  <c r="Y152" i="4"/>
  <c r="Y151"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3" i="4"/>
  <c r="Y112" i="4"/>
  <c r="Y111" i="4"/>
  <c r="Y110" i="4"/>
  <c r="Y109" i="4"/>
  <c r="Y108" i="4"/>
  <c r="Y107" i="4"/>
  <c r="Y106" i="4"/>
  <c r="Y105" i="4"/>
  <c r="Y104" i="4"/>
  <c r="Y103" i="4"/>
  <c r="Y102" i="4"/>
  <c r="Y101" i="4"/>
  <c r="Y100" i="4"/>
  <c r="Y99"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Y9" i="4"/>
  <c r="Y8" i="4"/>
  <c r="Y258" i="4" s="1"/>
  <c r="J8" i="30" l="1"/>
  <c r="M8" i="4"/>
  <c r="E35" i="28"/>
  <c r="E36" i="28"/>
  <c r="E37" i="28"/>
  <c r="E38" i="28"/>
  <c r="E39" i="28"/>
  <c r="E40" i="28"/>
  <c r="E41" i="28"/>
  <c r="E42" i="28"/>
  <c r="E43" i="28"/>
  <c r="E44" i="28"/>
  <c r="E45" i="28"/>
  <c r="E46" i="28"/>
  <c r="E47" i="28"/>
  <c r="E48" i="28"/>
  <c r="P57" i="10"/>
  <c r="P58" i="10"/>
  <c r="P59" i="10"/>
  <c r="P60" i="10"/>
  <c r="P61" i="10"/>
  <c r="P62" i="10"/>
  <c r="P63" i="10"/>
  <c r="P64" i="10"/>
  <c r="P65" i="10"/>
  <c r="P66" i="10"/>
  <c r="P67" i="10"/>
  <c r="P68" i="10"/>
  <c r="P69" i="10"/>
  <c r="P70" i="10"/>
  <c r="P71" i="10"/>
  <c r="P72" i="10"/>
  <c r="Q18" i="27" l="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I8" i="10"/>
  <c r="Q18" i="26" l="1"/>
  <c r="R18" i="26" s="1"/>
  <c r="V18" i="26" s="1"/>
  <c r="U17" i="26"/>
  <c r="S17" i="26"/>
  <c r="R17" i="26"/>
  <c r="V17" i="26" s="1"/>
  <c r="AR17" i="3"/>
  <c r="AR16" i="3"/>
  <c r="AR15" i="3"/>
  <c r="AR14" i="3"/>
  <c r="AR13" i="3"/>
  <c r="AR12" i="3"/>
  <c r="AR11" i="3"/>
  <c r="AR6" i="3"/>
  <c r="T17" i="26" l="1"/>
  <c r="S18" i="26"/>
  <c r="U18" i="26"/>
  <c r="Q19" i="26"/>
  <c r="R19" i="26" s="1"/>
  <c r="T18" i="26"/>
  <c r="Q18" i="25"/>
  <c r="R18" i="25" s="1"/>
  <c r="V18" i="25" s="1"/>
  <c r="U17" i="25"/>
  <c r="S17" i="25"/>
  <c r="R17" i="25"/>
  <c r="D10" i="10"/>
  <c r="S17" i="10"/>
  <c r="Q18" i="10"/>
  <c r="U18" i="10" s="1"/>
  <c r="U17" i="10"/>
  <c r="S19" i="26" l="1"/>
  <c r="Q20" i="26"/>
  <c r="U19" i="26"/>
  <c r="T19" i="26"/>
  <c r="V19" i="26"/>
  <c r="S18" i="25"/>
  <c r="U18" i="25"/>
  <c r="Q19" i="25"/>
  <c r="R19" i="25" s="1"/>
  <c r="V17" i="25"/>
  <c r="T17" i="25"/>
  <c r="T18" i="25"/>
  <c r="S18" i="10"/>
  <c r="Q19" i="10"/>
  <c r="R18" i="10"/>
  <c r="R17" i="10"/>
  <c r="Q21" i="26" l="1"/>
  <c r="R20" i="26"/>
  <c r="U20" i="26"/>
  <c r="S20" i="26"/>
  <c r="S19" i="25"/>
  <c r="U19" i="25"/>
  <c r="Q20" i="25"/>
  <c r="T19" i="25"/>
  <c r="V19" i="25"/>
  <c r="V17" i="10"/>
  <c r="T17" i="10"/>
  <c r="V18" i="10"/>
  <c r="T18" i="10"/>
  <c r="Q20" i="10"/>
  <c r="Q21" i="10" s="1"/>
  <c r="S21" i="10" s="1"/>
  <c r="S19" i="10"/>
  <c r="R19" i="10"/>
  <c r="U19" i="10"/>
  <c r="T20" i="26" l="1"/>
  <c r="V20" i="26"/>
  <c r="Q22" i="26"/>
  <c r="U21" i="26"/>
  <c r="S21" i="26"/>
  <c r="R21" i="26"/>
  <c r="U20" i="25"/>
  <c r="R20" i="25"/>
  <c r="S20" i="25"/>
  <c r="Q21" i="25"/>
  <c r="R20" i="10"/>
  <c r="S20" i="10"/>
  <c r="V19" i="10"/>
  <c r="T19" i="10"/>
  <c r="U20" i="10"/>
  <c r="Q22" i="10"/>
  <c r="S22" i="10" s="1"/>
  <c r="U21" i="10"/>
  <c r="R21" i="10"/>
  <c r="V21" i="26" l="1"/>
  <c r="T21" i="26"/>
  <c r="R22" i="26"/>
  <c r="Q23" i="26"/>
  <c r="S22" i="26"/>
  <c r="U22" i="26"/>
  <c r="U21" i="25"/>
  <c r="S21" i="25"/>
  <c r="Q22" i="25"/>
  <c r="R21" i="25"/>
  <c r="T20" i="25"/>
  <c r="V20" i="25"/>
  <c r="V21" i="10"/>
  <c r="T21" i="10"/>
  <c r="V20" i="10"/>
  <c r="T20" i="10"/>
  <c r="Q23" i="10"/>
  <c r="S23" i="10" s="1"/>
  <c r="U22" i="10"/>
  <c r="R22" i="10"/>
  <c r="Q24" i="26" l="1"/>
  <c r="U23" i="26"/>
  <c r="S23" i="26"/>
  <c r="R23" i="26"/>
  <c r="T22" i="26"/>
  <c r="V22" i="26"/>
  <c r="T21" i="25"/>
  <c r="V21" i="25"/>
  <c r="R22" i="25"/>
  <c r="Q23" i="25"/>
  <c r="U22" i="25"/>
  <c r="S22" i="25"/>
  <c r="V22" i="10"/>
  <c r="T22" i="10"/>
  <c r="Q24" i="10"/>
  <c r="S24" i="10" s="1"/>
  <c r="U23" i="10"/>
  <c r="R23" i="10"/>
  <c r="T23" i="26" l="1"/>
  <c r="V23" i="26"/>
  <c r="R24" i="26"/>
  <c r="Q25" i="26"/>
  <c r="S24" i="26"/>
  <c r="U24" i="26"/>
  <c r="S23" i="25"/>
  <c r="R23" i="25"/>
  <c r="U23" i="25"/>
  <c r="Q24" i="25"/>
  <c r="V22" i="25"/>
  <c r="T22" i="25"/>
  <c r="V23" i="10"/>
  <c r="T23" i="10"/>
  <c r="Q25" i="10"/>
  <c r="S25" i="10" s="1"/>
  <c r="U24" i="10"/>
  <c r="R24" i="10"/>
  <c r="S25" i="26" l="1"/>
  <c r="R25" i="26"/>
  <c r="U25" i="26"/>
  <c r="Q26" i="26"/>
  <c r="V24" i="26"/>
  <c r="T24" i="26"/>
  <c r="U24" i="25"/>
  <c r="R24" i="25"/>
  <c r="S24" i="25"/>
  <c r="Q25" i="25"/>
  <c r="T23" i="25"/>
  <c r="V23" i="25"/>
  <c r="V24" i="10"/>
  <c r="T24" i="10"/>
  <c r="Q26" i="10"/>
  <c r="S26" i="10" s="1"/>
  <c r="U25" i="10"/>
  <c r="R25" i="10"/>
  <c r="R26" i="26" l="1"/>
  <c r="S26" i="26"/>
  <c r="Q27" i="26"/>
  <c r="U26" i="26"/>
  <c r="V25" i="26"/>
  <c r="T25" i="26"/>
  <c r="Q26" i="25"/>
  <c r="R25" i="25"/>
  <c r="U25" i="25"/>
  <c r="S25" i="25"/>
  <c r="T24" i="25"/>
  <c r="V24" i="25"/>
  <c r="V25" i="10"/>
  <c r="T25" i="10"/>
  <c r="U26" i="10"/>
  <c r="R26" i="10"/>
  <c r="Q27" i="10"/>
  <c r="S27" i="10" s="1"/>
  <c r="Q28" i="26" l="1"/>
  <c r="U27" i="26"/>
  <c r="R27" i="26"/>
  <c r="S27" i="26"/>
  <c r="V26" i="26"/>
  <c r="T26" i="26"/>
  <c r="V25" i="25"/>
  <c r="T25" i="25"/>
  <c r="Q27" i="25"/>
  <c r="R26" i="25"/>
  <c r="U26" i="25"/>
  <c r="S26" i="25"/>
  <c r="V26" i="10"/>
  <c r="T26" i="10"/>
  <c r="U27" i="10"/>
  <c r="Q28" i="10"/>
  <c r="S28" i="10" s="1"/>
  <c r="R27" i="10"/>
  <c r="V27" i="26" l="1"/>
  <c r="T27" i="26"/>
  <c r="Q29" i="26"/>
  <c r="R28" i="26"/>
  <c r="S28" i="26"/>
  <c r="U28" i="26"/>
  <c r="V26" i="25"/>
  <c r="T26" i="25"/>
  <c r="R27" i="25"/>
  <c r="Q28" i="25"/>
  <c r="U27" i="25"/>
  <c r="S27" i="25"/>
  <c r="V27" i="10"/>
  <c r="T27" i="10"/>
  <c r="U28" i="10"/>
  <c r="Q29" i="10"/>
  <c r="S29" i="10" s="1"/>
  <c r="R28" i="10"/>
  <c r="T28" i="26" l="1"/>
  <c r="V28" i="26"/>
  <c r="Q30" i="26"/>
  <c r="U29" i="26"/>
  <c r="S29" i="26"/>
  <c r="R29" i="26"/>
  <c r="T27" i="25"/>
  <c r="V27" i="25"/>
  <c r="U28" i="25"/>
  <c r="Q29" i="25"/>
  <c r="S28" i="25"/>
  <c r="R28" i="25"/>
  <c r="V28" i="10"/>
  <c r="T28" i="10"/>
  <c r="U29" i="10"/>
  <c r="Q30" i="10"/>
  <c r="S30" i="10" s="1"/>
  <c r="R29" i="10"/>
  <c r="T29" i="26" l="1"/>
  <c r="V29" i="26"/>
  <c r="U30" i="26"/>
  <c r="S30" i="26"/>
  <c r="R30" i="26"/>
  <c r="Q31" i="26"/>
  <c r="Q30" i="25"/>
  <c r="U29" i="25"/>
  <c r="S29" i="25"/>
  <c r="R29" i="25"/>
  <c r="T28" i="25"/>
  <c r="V28" i="25"/>
  <c r="V29" i="10"/>
  <c r="T29" i="10"/>
  <c r="U30" i="10"/>
  <c r="Q31" i="10"/>
  <c r="S31" i="10" s="1"/>
  <c r="R30" i="10"/>
  <c r="V30" i="26" l="1"/>
  <c r="T30" i="26"/>
  <c r="Q32" i="26"/>
  <c r="U31" i="26"/>
  <c r="R31" i="26"/>
  <c r="S31" i="26"/>
  <c r="V29" i="25"/>
  <c r="T29" i="25"/>
  <c r="U30" i="25"/>
  <c r="S30" i="25"/>
  <c r="Q31" i="25"/>
  <c r="R30" i="25"/>
  <c r="V30" i="10"/>
  <c r="T30" i="10"/>
  <c r="U31" i="10"/>
  <c r="Q32" i="10"/>
  <c r="S32" i="10" s="1"/>
  <c r="R31" i="10"/>
  <c r="R32" i="26" l="1"/>
  <c r="S32" i="26"/>
  <c r="Q33" i="26"/>
  <c r="U32" i="26"/>
  <c r="T31" i="26"/>
  <c r="V31" i="26"/>
  <c r="V30" i="25"/>
  <c r="T30" i="25"/>
  <c r="R31" i="25"/>
  <c r="Q32" i="25"/>
  <c r="U31" i="25"/>
  <c r="S31" i="25"/>
  <c r="V31" i="10"/>
  <c r="T31" i="10"/>
  <c r="U32" i="10"/>
  <c r="Q33" i="10"/>
  <c r="S33" i="10" s="1"/>
  <c r="R32" i="10"/>
  <c r="S33" i="26" l="1"/>
  <c r="Q34" i="26"/>
  <c r="R33" i="26"/>
  <c r="U33" i="26"/>
  <c r="V32" i="26"/>
  <c r="T32" i="26"/>
  <c r="R32" i="25"/>
  <c r="U32" i="25"/>
  <c r="S32" i="25"/>
  <c r="Q33" i="25"/>
  <c r="V31" i="25"/>
  <c r="T31" i="25"/>
  <c r="V32" i="10"/>
  <c r="T32" i="10"/>
  <c r="U33" i="10"/>
  <c r="Q34" i="10"/>
  <c r="S34" i="10" s="1"/>
  <c r="R33" i="10"/>
  <c r="V33" i="26" l="1"/>
  <c r="T33" i="26"/>
  <c r="R34" i="26"/>
  <c r="Q35" i="26"/>
  <c r="U34" i="26"/>
  <c r="S34" i="26"/>
  <c r="Q34" i="25"/>
  <c r="S33" i="25"/>
  <c r="R33" i="25"/>
  <c r="U33" i="25"/>
  <c r="V32" i="25"/>
  <c r="T32" i="25"/>
  <c r="V33" i="10"/>
  <c r="T33" i="10"/>
  <c r="U34" i="10"/>
  <c r="R34" i="10"/>
  <c r="Q35" i="10"/>
  <c r="S35" i="10" s="1"/>
  <c r="Q36" i="26" l="1"/>
  <c r="U35" i="26"/>
  <c r="R35" i="26"/>
  <c r="S35" i="26"/>
  <c r="V34" i="26"/>
  <c r="T34" i="26"/>
  <c r="T33" i="25"/>
  <c r="V33" i="25"/>
  <c r="R34" i="25"/>
  <c r="S34" i="25"/>
  <c r="Q35" i="25"/>
  <c r="U34" i="25"/>
  <c r="V34" i="10"/>
  <c r="T34" i="10"/>
  <c r="U35" i="10"/>
  <c r="R35" i="10"/>
  <c r="Q36" i="10"/>
  <c r="S36" i="10" s="1"/>
  <c r="T35" i="26" l="1"/>
  <c r="V35" i="26"/>
  <c r="R36" i="26"/>
  <c r="Q37" i="26"/>
  <c r="S36" i="26"/>
  <c r="U36" i="26"/>
  <c r="S35" i="25"/>
  <c r="R35" i="25"/>
  <c r="Q36" i="25"/>
  <c r="U35" i="25"/>
  <c r="V34" i="25"/>
  <c r="T34" i="25"/>
  <c r="V35" i="10"/>
  <c r="T35" i="10"/>
  <c r="U36" i="10"/>
  <c r="Q37" i="10"/>
  <c r="S37" i="10" s="1"/>
  <c r="R36" i="10"/>
  <c r="S37" i="26" l="1"/>
  <c r="R37" i="26"/>
  <c r="U37" i="26"/>
  <c r="Q38" i="26"/>
  <c r="T36" i="26"/>
  <c r="V36" i="26"/>
  <c r="U36" i="25"/>
  <c r="R36" i="25"/>
  <c r="Q37" i="25"/>
  <c r="S36" i="25"/>
  <c r="T35" i="25"/>
  <c r="V35" i="25"/>
  <c r="V36" i="10"/>
  <c r="T36" i="10"/>
  <c r="Q38" i="10"/>
  <c r="S38" i="10" s="1"/>
  <c r="R37" i="10"/>
  <c r="U37" i="10"/>
  <c r="R38" i="26" l="1"/>
  <c r="S38" i="26"/>
  <c r="Q39" i="26"/>
  <c r="U38" i="26"/>
  <c r="V37" i="26"/>
  <c r="T37" i="26"/>
  <c r="U37" i="25"/>
  <c r="S37" i="25"/>
  <c r="R37" i="25"/>
  <c r="Q38" i="25"/>
  <c r="V36" i="25"/>
  <c r="T36" i="25"/>
  <c r="V37" i="10"/>
  <c r="T37" i="10"/>
  <c r="Q39" i="10"/>
  <c r="S39" i="10" s="1"/>
  <c r="R38" i="10"/>
  <c r="U38" i="10"/>
  <c r="Q40" i="26" l="1"/>
  <c r="U39" i="26"/>
  <c r="R39" i="26"/>
  <c r="S39" i="26"/>
  <c r="T38" i="26"/>
  <c r="V38" i="26"/>
  <c r="Q39" i="25"/>
  <c r="U38" i="25"/>
  <c r="S38" i="25"/>
  <c r="R38" i="25"/>
  <c r="V37" i="25"/>
  <c r="T37" i="25"/>
  <c r="V38" i="10"/>
  <c r="T38" i="10"/>
  <c r="Q40" i="10"/>
  <c r="S40" i="10" s="1"/>
  <c r="U39" i="10"/>
  <c r="R39" i="10"/>
  <c r="T39" i="26" l="1"/>
  <c r="V39" i="26"/>
  <c r="R40" i="26"/>
  <c r="Q41" i="26"/>
  <c r="S40" i="26"/>
  <c r="U40" i="26"/>
  <c r="T38" i="25"/>
  <c r="V38" i="25"/>
  <c r="S39" i="25"/>
  <c r="Q40" i="25"/>
  <c r="R39" i="25"/>
  <c r="U39" i="25"/>
  <c r="V39" i="10"/>
  <c r="T39" i="10"/>
  <c r="U40" i="10"/>
  <c r="R40" i="10"/>
  <c r="Q41" i="10"/>
  <c r="S41" i="10" s="1"/>
  <c r="S41" i="26" l="1"/>
  <c r="R41" i="26"/>
  <c r="U41" i="26"/>
  <c r="Q42" i="26"/>
  <c r="V40" i="26"/>
  <c r="T40" i="26"/>
  <c r="T39" i="25"/>
  <c r="V39" i="25"/>
  <c r="R40" i="25"/>
  <c r="S40" i="25"/>
  <c r="Q41" i="25"/>
  <c r="U40" i="25"/>
  <c r="V40" i="10"/>
  <c r="T40" i="10"/>
  <c r="Q42" i="10"/>
  <c r="S42" i="10" s="1"/>
  <c r="U41" i="10"/>
  <c r="R41" i="10"/>
  <c r="R42" i="26" l="1"/>
  <c r="Q43" i="26"/>
  <c r="U42" i="26"/>
  <c r="S42" i="26"/>
  <c r="V41" i="26"/>
  <c r="T41" i="26"/>
  <c r="V40" i="25"/>
  <c r="T40" i="25"/>
  <c r="Q42" i="25"/>
  <c r="U41" i="25"/>
  <c r="S41" i="25"/>
  <c r="R41" i="25"/>
  <c r="V41" i="10"/>
  <c r="T41" i="10"/>
  <c r="Q43" i="10"/>
  <c r="S43" i="10" s="1"/>
  <c r="U42" i="10"/>
  <c r="R42" i="10"/>
  <c r="Q44" i="26" l="1"/>
  <c r="U43" i="26"/>
  <c r="R43" i="26"/>
  <c r="S43" i="26"/>
  <c r="V42" i="26"/>
  <c r="T42" i="26"/>
  <c r="S42" i="25"/>
  <c r="R42" i="25"/>
  <c r="Q43" i="25"/>
  <c r="U42" i="25"/>
  <c r="T41" i="25"/>
  <c r="V41" i="25"/>
  <c r="V42" i="10"/>
  <c r="T42" i="10"/>
  <c r="Q44" i="10"/>
  <c r="S44" i="10" s="1"/>
  <c r="R43" i="10"/>
  <c r="U43" i="10"/>
  <c r="T43" i="26" l="1"/>
  <c r="V43" i="26"/>
  <c r="Q45" i="26"/>
  <c r="R44" i="26"/>
  <c r="S44" i="26"/>
  <c r="U44" i="26"/>
  <c r="R43" i="25"/>
  <c r="Q44" i="25"/>
  <c r="U43" i="25"/>
  <c r="S43" i="25"/>
  <c r="V42" i="25"/>
  <c r="T42" i="25"/>
  <c r="V43" i="10"/>
  <c r="T43" i="10"/>
  <c r="Q45" i="10"/>
  <c r="S45" i="10" s="1"/>
  <c r="U44" i="10"/>
  <c r="R44" i="10"/>
  <c r="T44" i="26" l="1"/>
  <c r="V44" i="26"/>
  <c r="S45" i="26"/>
  <c r="R45" i="26"/>
  <c r="U45" i="26"/>
  <c r="Q46" i="26"/>
  <c r="R44" i="25"/>
  <c r="U44" i="25"/>
  <c r="Q45" i="25"/>
  <c r="S44" i="25"/>
  <c r="T43" i="25"/>
  <c r="V43" i="25"/>
  <c r="V44" i="10"/>
  <c r="T44" i="10"/>
  <c r="Q46" i="10"/>
  <c r="S46" i="10" s="1"/>
  <c r="U45" i="10"/>
  <c r="R45" i="10"/>
  <c r="R46" i="26" l="1"/>
  <c r="Q47" i="26"/>
  <c r="U46" i="26"/>
  <c r="S46" i="26"/>
  <c r="V45" i="26"/>
  <c r="T45" i="26"/>
  <c r="Q46" i="25"/>
  <c r="U45" i="25"/>
  <c r="S45" i="25"/>
  <c r="R45" i="25"/>
  <c r="V44" i="25"/>
  <c r="T44" i="25"/>
  <c r="V45" i="10"/>
  <c r="T45" i="10"/>
  <c r="Q47" i="10"/>
  <c r="S47" i="10" s="1"/>
  <c r="U46" i="10"/>
  <c r="R46" i="10"/>
  <c r="S47" i="26" l="1"/>
  <c r="R47" i="26"/>
  <c r="Q48" i="26"/>
  <c r="U47" i="26"/>
  <c r="T46" i="26"/>
  <c r="V46" i="26"/>
  <c r="T45" i="25"/>
  <c r="V45" i="25"/>
  <c r="R46" i="25"/>
  <c r="U46" i="25"/>
  <c r="Q47" i="25"/>
  <c r="S46" i="25"/>
  <c r="V46" i="10"/>
  <c r="T46" i="10"/>
  <c r="Q48" i="10"/>
  <c r="S48" i="10" s="1"/>
  <c r="R47" i="10"/>
  <c r="U47" i="10"/>
  <c r="R48" i="26" l="1"/>
  <c r="Q49" i="26"/>
  <c r="U48" i="26"/>
  <c r="S48" i="26"/>
  <c r="V47" i="26"/>
  <c r="T47" i="26"/>
  <c r="V46" i="25"/>
  <c r="T46" i="25"/>
  <c r="R47" i="25"/>
  <c r="S47" i="25"/>
  <c r="U47" i="25"/>
  <c r="Q48" i="25"/>
  <c r="V47" i="10"/>
  <c r="T47" i="10"/>
  <c r="Q49" i="10"/>
  <c r="S49" i="10" s="1"/>
  <c r="U48" i="10"/>
  <c r="R48" i="10"/>
  <c r="S49" i="26" l="1"/>
  <c r="R49" i="26"/>
  <c r="U49" i="26"/>
  <c r="Q50" i="26"/>
  <c r="T48" i="26"/>
  <c r="V48" i="26"/>
  <c r="T47" i="25"/>
  <c r="V47" i="25"/>
  <c r="U48" i="25"/>
  <c r="R48" i="25"/>
  <c r="Q49" i="25"/>
  <c r="S48" i="25"/>
  <c r="V48" i="10"/>
  <c r="T48" i="10"/>
  <c r="R49" i="10"/>
  <c r="Q50" i="10"/>
  <c r="S50" i="10" s="1"/>
  <c r="U49" i="10"/>
  <c r="R50" i="26" l="1"/>
  <c r="U50" i="26"/>
  <c r="S50" i="26"/>
  <c r="Q51" i="26"/>
  <c r="V49" i="26"/>
  <c r="T49" i="26"/>
  <c r="Q50" i="25"/>
  <c r="U49" i="25"/>
  <c r="S49" i="25"/>
  <c r="R49" i="25"/>
  <c r="T48" i="25"/>
  <c r="V48" i="25"/>
  <c r="V49" i="10"/>
  <c r="T49" i="10"/>
  <c r="Q51" i="10"/>
  <c r="S51" i="10" s="1"/>
  <c r="U50" i="10"/>
  <c r="R50" i="10"/>
  <c r="Q52" i="26" l="1"/>
  <c r="U51" i="26"/>
  <c r="S51" i="26"/>
  <c r="R51" i="26"/>
  <c r="T50" i="26"/>
  <c r="V50" i="26"/>
  <c r="V49" i="25"/>
  <c r="T49" i="25"/>
  <c r="R50" i="25"/>
  <c r="Q51" i="25"/>
  <c r="S50" i="25"/>
  <c r="U50" i="25"/>
  <c r="V50" i="10"/>
  <c r="T50" i="10"/>
  <c r="Q52" i="10"/>
  <c r="S52" i="10" s="1"/>
  <c r="U51" i="10"/>
  <c r="R51" i="10"/>
  <c r="AC18" i="3"/>
  <c r="AC20" i="3" s="1"/>
  <c r="AC21" i="3" s="1"/>
  <c r="AD18" i="3"/>
  <c r="AD20" i="3" s="1"/>
  <c r="AD21" i="3" s="1"/>
  <c r="AE18" i="3"/>
  <c r="AE20" i="3" s="1"/>
  <c r="AE21" i="3" s="1"/>
  <c r="AF18" i="3"/>
  <c r="AF20" i="3" s="1"/>
  <c r="AF21" i="3" s="1"/>
  <c r="AG18" i="3"/>
  <c r="AG20" i="3" s="1"/>
  <c r="AG21" i="3" s="1"/>
  <c r="AH18" i="3"/>
  <c r="AH20" i="3" s="1"/>
  <c r="AH21" i="3" s="1"/>
  <c r="AI18" i="3"/>
  <c r="AI20" i="3" s="1"/>
  <c r="AI21" i="3" s="1"/>
  <c r="AJ18" i="3"/>
  <c r="AJ20" i="3" s="1"/>
  <c r="AJ21" i="3" s="1"/>
  <c r="AK18" i="3"/>
  <c r="AK20" i="3" s="1"/>
  <c r="AK21" i="3" s="1"/>
  <c r="AL18" i="3"/>
  <c r="AL20" i="3" s="1"/>
  <c r="AL21" i="3" s="1"/>
  <c r="AM18" i="3"/>
  <c r="AM20" i="3" s="1"/>
  <c r="AM21" i="3" s="1"/>
  <c r="AN18" i="3"/>
  <c r="AN20" i="3" s="1"/>
  <c r="AN21" i="3" s="1"/>
  <c r="AO18" i="3"/>
  <c r="AO20" i="3" s="1"/>
  <c r="AO21" i="3" s="1"/>
  <c r="AP18" i="3"/>
  <c r="AP20" i="3" s="1"/>
  <c r="AP21" i="3" s="1"/>
  <c r="AQ18" i="3"/>
  <c r="AQ20" i="3" s="1"/>
  <c r="AQ21" i="3" s="1"/>
  <c r="AD22" i="3"/>
  <c r="AE22" i="3"/>
  <c r="AF22" i="3"/>
  <c r="AG22" i="3"/>
  <c r="AH22" i="3"/>
  <c r="AI22" i="3"/>
  <c r="AJ22" i="3"/>
  <c r="AK22" i="3"/>
  <c r="AL22" i="3"/>
  <c r="AM22" i="3"/>
  <c r="AN22" i="3"/>
  <c r="AO22" i="3"/>
  <c r="AP22" i="3"/>
  <c r="AQ22" i="3"/>
  <c r="T51" i="26" l="1"/>
  <c r="V51" i="26"/>
  <c r="Q53" i="26"/>
  <c r="R52" i="26"/>
  <c r="U52" i="26"/>
  <c r="S52" i="26"/>
  <c r="S51" i="25"/>
  <c r="Q52" i="25"/>
  <c r="R51" i="25"/>
  <c r="U51" i="25"/>
  <c r="V50" i="25"/>
  <c r="T50" i="25"/>
  <c r="V51" i="10"/>
  <c r="T51" i="10"/>
  <c r="U52" i="10"/>
  <c r="R52" i="10"/>
  <c r="Q53" i="10"/>
  <c r="S53" i="10" s="1"/>
  <c r="I6" i="2"/>
  <c r="T52" i="26" l="1"/>
  <c r="V52" i="26"/>
  <c r="Q54" i="26"/>
  <c r="U53" i="26"/>
  <c r="S53" i="26"/>
  <c r="R53" i="26"/>
  <c r="V51" i="25"/>
  <c r="T51" i="25"/>
  <c r="R52" i="25"/>
  <c r="U52" i="25"/>
  <c r="S52" i="25"/>
  <c r="Q53" i="25"/>
  <c r="V52" i="10"/>
  <c r="T52" i="10"/>
  <c r="Q54" i="10"/>
  <c r="S54" i="10" s="1"/>
  <c r="U53" i="10"/>
  <c r="R53" i="10"/>
  <c r="J6" i="2"/>
  <c r="A16" i="30"/>
  <c r="H4" i="32"/>
  <c r="H5" i="32"/>
  <c r="H6" i="32"/>
  <c r="H7" i="32"/>
  <c r="H8" i="32"/>
  <c r="H9" i="32"/>
  <c r="H10" i="32"/>
  <c r="H11" i="32"/>
  <c r="H12" i="32"/>
  <c r="H13" i="32"/>
  <c r="H14" i="32"/>
  <c r="H15" i="32"/>
  <c r="H16" i="32"/>
  <c r="H17" i="32"/>
  <c r="H18" i="32"/>
  <c r="H19" i="32"/>
  <c r="H20" i="32"/>
  <c r="H21" i="32"/>
  <c r="H22" i="32"/>
  <c r="E8" i="30" s="1"/>
  <c r="H23" i="32"/>
  <c r="H24" i="32"/>
  <c r="H25" i="32"/>
  <c r="H26" i="32"/>
  <c r="H27" i="32"/>
  <c r="H28" i="32"/>
  <c r="H29" i="32"/>
  <c r="H30" i="32"/>
  <c r="H2" i="32" s="1"/>
  <c r="H3" i="32"/>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8" i="30"/>
  <c r="G8" i="30"/>
  <c r="M257" i="30"/>
  <c r="J257" i="30"/>
  <c r="G257" i="30"/>
  <c r="I257" i="30" s="1"/>
  <c r="D257" i="30"/>
  <c r="B257" i="30"/>
  <c r="A257" i="30"/>
  <c r="M256" i="30"/>
  <c r="J256" i="30"/>
  <c r="G256" i="30"/>
  <c r="I256" i="30" s="1"/>
  <c r="D256" i="30"/>
  <c r="B256" i="30"/>
  <c r="A256" i="30"/>
  <c r="M255" i="30"/>
  <c r="J255" i="30"/>
  <c r="G255" i="30"/>
  <c r="D255" i="30"/>
  <c r="B255" i="30"/>
  <c r="A255" i="30"/>
  <c r="M254" i="30"/>
  <c r="J254" i="30"/>
  <c r="G254" i="30"/>
  <c r="I254" i="30" s="1"/>
  <c r="D254" i="30"/>
  <c r="B254" i="30"/>
  <c r="A254" i="30"/>
  <c r="M253" i="30"/>
  <c r="J253" i="30"/>
  <c r="G253" i="30"/>
  <c r="D253" i="30"/>
  <c r="B253" i="30"/>
  <c r="A253" i="30"/>
  <c r="M252" i="30"/>
  <c r="J252" i="30"/>
  <c r="G252" i="30"/>
  <c r="D252" i="30"/>
  <c r="B252" i="30"/>
  <c r="A252" i="30"/>
  <c r="M251" i="30"/>
  <c r="J251" i="30"/>
  <c r="G251" i="30"/>
  <c r="I251" i="30" s="1"/>
  <c r="D251" i="30"/>
  <c r="B251" i="30"/>
  <c r="A251" i="30"/>
  <c r="M250" i="30"/>
  <c r="J250" i="30"/>
  <c r="G250" i="30"/>
  <c r="I250" i="30" s="1"/>
  <c r="D250" i="30"/>
  <c r="B250" i="30"/>
  <c r="A250" i="30"/>
  <c r="M249" i="30"/>
  <c r="J249" i="30"/>
  <c r="G249" i="30"/>
  <c r="I249" i="30" s="1"/>
  <c r="D249" i="30"/>
  <c r="B249" i="30"/>
  <c r="A249" i="30"/>
  <c r="M248" i="30"/>
  <c r="J248" i="30"/>
  <c r="G248" i="30"/>
  <c r="I248" i="30" s="1"/>
  <c r="D248" i="30"/>
  <c r="B248" i="30"/>
  <c r="A248" i="30"/>
  <c r="M247" i="30"/>
  <c r="J247" i="30"/>
  <c r="G247" i="30"/>
  <c r="D247" i="30"/>
  <c r="B247" i="30"/>
  <c r="A247" i="30"/>
  <c r="M246" i="30"/>
  <c r="J246" i="30"/>
  <c r="G246" i="30"/>
  <c r="I246" i="30" s="1"/>
  <c r="D246" i="30"/>
  <c r="B246" i="30"/>
  <c r="A246" i="30"/>
  <c r="M245" i="30"/>
  <c r="J245" i="30"/>
  <c r="G245" i="30"/>
  <c r="I245" i="30" s="1"/>
  <c r="D245" i="30"/>
  <c r="B245" i="30"/>
  <c r="A245" i="30"/>
  <c r="M244" i="30"/>
  <c r="J244" i="30"/>
  <c r="G244" i="30"/>
  <c r="I244" i="30" s="1"/>
  <c r="D244" i="30"/>
  <c r="B244" i="30"/>
  <c r="A244" i="30"/>
  <c r="M243" i="30"/>
  <c r="J243" i="30"/>
  <c r="G243" i="30"/>
  <c r="D243" i="30"/>
  <c r="B243" i="30"/>
  <c r="A243" i="30"/>
  <c r="M242" i="30"/>
  <c r="J242" i="30"/>
  <c r="G242" i="30"/>
  <c r="D242" i="30"/>
  <c r="B242" i="30"/>
  <c r="A242" i="30"/>
  <c r="M241" i="30"/>
  <c r="J241" i="30"/>
  <c r="G241" i="30"/>
  <c r="D241" i="30"/>
  <c r="B241" i="30"/>
  <c r="A241" i="30"/>
  <c r="M240" i="30"/>
  <c r="J240" i="30"/>
  <c r="G240" i="30"/>
  <c r="D240" i="30"/>
  <c r="B240" i="30"/>
  <c r="A240" i="30"/>
  <c r="M239" i="30"/>
  <c r="J239" i="30"/>
  <c r="G239" i="30"/>
  <c r="D239" i="30"/>
  <c r="B239" i="30"/>
  <c r="A239" i="30"/>
  <c r="M238" i="30"/>
  <c r="J238" i="30"/>
  <c r="G238" i="30"/>
  <c r="I238" i="30" s="1"/>
  <c r="D238" i="30"/>
  <c r="B238" i="30"/>
  <c r="A238" i="30"/>
  <c r="M237" i="30"/>
  <c r="J237" i="30"/>
  <c r="G237" i="30"/>
  <c r="I237" i="30" s="1"/>
  <c r="D237" i="30"/>
  <c r="B237" i="30"/>
  <c r="A237" i="30"/>
  <c r="M236" i="30"/>
  <c r="J236" i="30"/>
  <c r="G236" i="30"/>
  <c r="I236" i="30" s="1"/>
  <c r="D236" i="30"/>
  <c r="B236" i="30"/>
  <c r="A236" i="30"/>
  <c r="M235" i="30"/>
  <c r="J235" i="30"/>
  <c r="G235" i="30"/>
  <c r="D235" i="30"/>
  <c r="B235" i="30"/>
  <c r="A235" i="30"/>
  <c r="M234" i="30"/>
  <c r="J234" i="30"/>
  <c r="G234" i="30"/>
  <c r="D234" i="30"/>
  <c r="B234" i="30"/>
  <c r="A234" i="30"/>
  <c r="M233" i="30"/>
  <c r="J233" i="30"/>
  <c r="G233" i="30"/>
  <c r="I233" i="30" s="1"/>
  <c r="D233" i="30"/>
  <c r="B233" i="30"/>
  <c r="A233" i="30"/>
  <c r="M232" i="30"/>
  <c r="J232" i="30"/>
  <c r="G232" i="30"/>
  <c r="I232" i="30" s="1"/>
  <c r="D232" i="30"/>
  <c r="B232" i="30"/>
  <c r="A232" i="30"/>
  <c r="M231" i="30"/>
  <c r="J231" i="30"/>
  <c r="G231" i="30"/>
  <c r="D231" i="30"/>
  <c r="B231" i="30"/>
  <c r="A231" i="30"/>
  <c r="M230" i="30"/>
  <c r="J230" i="30"/>
  <c r="G230" i="30"/>
  <c r="I230" i="30" s="1"/>
  <c r="D230" i="30"/>
  <c r="B230" i="30"/>
  <c r="A230" i="30"/>
  <c r="M229" i="30"/>
  <c r="J229" i="30"/>
  <c r="G229" i="30"/>
  <c r="D229" i="30"/>
  <c r="B229" i="30"/>
  <c r="A229" i="30"/>
  <c r="M228" i="30"/>
  <c r="J228" i="30"/>
  <c r="G228" i="30"/>
  <c r="D228" i="30"/>
  <c r="B228" i="30"/>
  <c r="A228" i="30"/>
  <c r="M227" i="30"/>
  <c r="J227" i="30"/>
  <c r="G227" i="30"/>
  <c r="D227" i="30"/>
  <c r="B227" i="30"/>
  <c r="A227" i="30"/>
  <c r="M226" i="30"/>
  <c r="J226" i="30"/>
  <c r="G226" i="30"/>
  <c r="D226" i="30"/>
  <c r="B226" i="30"/>
  <c r="A226" i="30"/>
  <c r="M225" i="30"/>
  <c r="J225" i="30"/>
  <c r="G225" i="30"/>
  <c r="D225" i="30"/>
  <c r="B225" i="30"/>
  <c r="A225" i="30"/>
  <c r="M224" i="30"/>
  <c r="J224" i="30"/>
  <c r="G224" i="30"/>
  <c r="I224" i="30" s="1"/>
  <c r="D224" i="30"/>
  <c r="B224" i="30"/>
  <c r="A224" i="30"/>
  <c r="M223" i="30"/>
  <c r="J223" i="30"/>
  <c r="G223" i="30"/>
  <c r="D223" i="30"/>
  <c r="B223" i="30"/>
  <c r="A223" i="30"/>
  <c r="M222" i="30"/>
  <c r="J222" i="30"/>
  <c r="G222" i="30"/>
  <c r="I222" i="30" s="1"/>
  <c r="D222" i="30"/>
  <c r="B222" i="30"/>
  <c r="A222" i="30"/>
  <c r="M221" i="30"/>
  <c r="J221" i="30"/>
  <c r="G221" i="30"/>
  <c r="I221" i="30" s="1"/>
  <c r="D221" i="30"/>
  <c r="B221" i="30"/>
  <c r="A221" i="30"/>
  <c r="M220" i="30"/>
  <c r="J220" i="30"/>
  <c r="G220" i="30"/>
  <c r="I220" i="30" s="1"/>
  <c r="D220" i="30"/>
  <c r="B220" i="30"/>
  <c r="A220" i="30"/>
  <c r="M219" i="30"/>
  <c r="J219" i="30"/>
  <c r="G219" i="30"/>
  <c r="D219" i="30"/>
  <c r="B219" i="30"/>
  <c r="A219" i="30"/>
  <c r="M218" i="30"/>
  <c r="J218" i="30"/>
  <c r="G218" i="30"/>
  <c r="D218" i="30"/>
  <c r="B218" i="30"/>
  <c r="A218" i="30"/>
  <c r="M217" i="30"/>
  <c r="J217" i="30"/>
  <c r="G217" i="30"/>
  <c r="D217" i="30"/>
  <c r="B217" i="30"/>
  <c r="A217" i="30"/>
  <c r="M216" i="30"/>
  <c r="J216" i="30"/>
  <c r="G216" i="30"/>
  <c r="D216" i="30"/>
  <c r="B216" i="30"/>
  <c r="A216" i="30"/>
  <c r="M215" i="30"/>
  <c r="J215" i="30"/>
  <c r="G215" i="30"/>
  <c r="D215" i="30"/>
  <c r="B215" i="30"/>
  <c r="A215" i="30"/>
  <c r="M214" i="30"/>
  <c r="J214" i="30"/>
  <c r="G214" i="30"/>
  <c r="I214" i="30" s="1"/>
  <c r="D214" i="30"/>
  <c r="B214" i="30"/>
  <c r="A214" i="30"/>
  <c r="M213" i="30"/>
  <c r="J213" i="30"/>
  <c r="G213" i="30"/>
  <c r="I213" i="30" s="1"/>
  <c r="D213" i="30"/>
  <c r="B213" i="30"/>
  <c r="A213" i="30"/>
  <c r="M212" i="30"/>
  <c r="J212" i="30"/>
  <c r="G212" i="30"/>
  <c r="I212" i="30" s="1"/>
  <c r="D212" i="30"/>
  <c r="B212" i="30"/>
  <c r="A212" i="30"/>
  <c r="M211" i="30"/>
  <c r="J211" i="30"/>
  <c r="G211" i="30"/>
  <c r="D211" i="30"/>
  <c r="B211" i="30"/>
  <c r="A211" i="30"/>
  <c r="M210" i="30"/>
  <c r="J210" i="30"/>
  <c r="G210" i="30"/>
  <c r="D210" i="30"/>
  <c r="B210" i="30"/>
  <c r="A210" i="30"/>
  <c r="M209" i="30"/>
  <c r="J209" i="30"/>
  <c r="G209" i="30"/>
  <c r="D209" i="30"/>
  <c r="B209" i="30"/>
  <c r="A209" i="30"/>
  <c r="M208" i="30"/>
  <c r="J208" i="30"/>
  <c r="G208" i="30"/>
  <c r="I208" i="30" s="1"/>
  <c r="D208" i="30"/>
  <c r="B208" i="30"/>
  <c r="A208" i="30"/>
  <c r="M207" i="30"/>
  <c r="J207" i="30"/>
  <c r="G207" i="30"/>
  <c r="D207" i="30"/>
  <c r="B207" i="30"/>
  <c r="A207" i="30"/>
  <c r="M206" i="30"/>
  <c r="J206" i="30"/>
  <c r="G206" i="30"/>
  <c r="I206" i="30" s="1"/>
  <c r="D206" i="30"/>
  <c r="B206" i="30"/>
  <c r="A206" i="30"/>
  <c r="M205" i="30"/>
  <c r="J205" i="30"/>
  <c r="G205" i="30"/>
  <c r="D205" i="30"/>
  <c r="B205" i="30"/>
  <c r="A205" i="30"/>
  <c r="M204" i="30"/>
  <c r="J204" i="30"/>
  <c r="G204" i="30"/>
  <c r="D204" i="30"/>
  <c r="B204" i="30"/>
  <c r="A204" i="30"/>
  <c r="M203" i="30"/>
  <c r="J203" i="30"/>
  <c r="G203" i="30"/>
  <c r="D203" i="30"/>
  <c r="B203" i="30"/>
  <c r="A203" i="30"/>
  <c r="M202" i="30"/>
  <c r="J202" i="30"/>
  <c r="G202" i="30"/>
  <c r="D202" i="30"/>
  <c r="B202" i="30"/>
  <c r="A202" i="30"/>
  <c r="M201" i="30"/>
  <c r="J201" i="30"/>
  <c r="G201" i="30"/>
  <c r="D201" i="30"/>
  <c r="B201" i="30"/>
  <c r="A201" i="30"/>
  <c r="M200" i="30"/>
  <c r="J200" i="30"/>
  <c r="G200" i="30"/>
  <c r="I200" i="30" s="1"/>
  <c r="D200" i="30"/>
  <c r="B200" i="30"/>
  <c r="A200" i="30"/>
  <c r="M199" i="30"/>
  <c r="J199" i="30"/>
  <c r="G199" i="30"/>
  <c r="D199" i="30"/>
  <c r="B199" i="30"/>
  <c r="A199" i="30"/>
  <c r="M198" i="30"/>
  <c r="J198" i="30"/>
  <c r="G198" i="30"/>
  <c r="I198" i="30" s="1"/>
  <c r="D198" i="30"/>
  <c r="B198" i="30"/>
  <c r="A198" i="30"/>
  <c r="M197" i="30"/>
  <c r="J197" i="30"/>
  <c r="G197" i="30"/>
  <c r="D197" i="30"/>
  <c r="B197" i="30"/>
  <c r="A197" i="30"/>
  <c r="M196" i="30"/>
  <c r="J196" i="30"/>
  <c r="G196" i="30"/>
  <c r="I196" i="30" s="1"/>
  <c r="D196" i="30"/>
  <c r="B196" i="30"/>
  <c r="A196" i="30"/>
  <c r="M195" i="30"/>
  <c r="J195" i="30"/>
  <c r="G195" i="30"/>
  <c r="D195" i="30"/>
  <c r="B195" i="30"/>
  <c r="A195" i="30"/>
  <c r="M194" i="30"/>
  <c r="J194" i="30"/>
  <c r="G194" i="30"/>
  <c r="D194" i="30"/>
  <c r="B194" i="30"/>
  <c r="A194" i="30"/>
  <c r="M193" i="30"/>
  <c r="J193" i="30"/>
  <c r="G193" i="30"/>
  <c r="D193" i="30"/>
  <c r="B193" i="30"/>
  <c r="A193" i="30"/>
  <c r="M192" i="30"/>
  <c r="J192" i="30"/>
  <c r="G192" i="30"/>
  <c r="D192" i="30"/>
  <c r="B192" i="30"/>
  <c r="A192" i="30"/>
  <c r="M191" i="30"/>
  <c r="J191" i="30"/>
  <c r="G191" i="30"/>
  <c r="D191" i="30"/>
  <c r="B191" i="30"/>
  <c r="A191" i="30"/>
  <c r="M190" i="30"/>
  <c r="J190" i="30"/>
  <c r="G190" i="30"/>
  <c r="I190" i="30" s="1"/>
  <c r="D190" i="30"/>
  <c r="B190" i="30"/>
  <c r="A190" i="30"/>
  <c r="M189" i="30"/>
  <c r="J189" i="30"/>
  <c r="G189" i="30"/>
  <c r="I189" i="30" s="1"/>
  <c r="D189" i="30"/>
  <c r="B189" i="30"/>
  <c r="A189" i="30"/>
  <c r="M188" i="30"/>
  <c r="J188" i="30"/>
  <c r="G188" i="30"/>
  <c r="I188" i="30" s="1"/>
  <c r="D188" i="30"/>
  <c r="B188" i="30"/>
  <c r="A188" i="30"/>
  <c r="M187" i="30"/>
  <c r="J187" i="30"/>
  <c r="G187" i="30"/>
  <c r="D187" i="30"/>
  <c r="B187" i="30"/>
  <c r="A187" i="30"/>
  <c r="M186" i="30"/>
  <c r="J186" i="30"/>
  <c r="G186" i="30"/>
  <c r="D186" i="30"/>
  <c r="B186" i="30"/>
  <c r="A186" i="30"/>
  <c r="M185" i="30"/>
  <c r="J185" i="30"/>
  <c r="G185" i="30"/>
  <c r="D185" i="30"/>
  <c r="B185" i="30"/>
  <c r="A185" i="30"/>
  <c r="M184" i="30"/>
  <c r="J184" i="30"/>
  <c r="G184" i="30"/>
  <c r="I184" i="30" s="1"/>
  <c r="D184" i="30"/>
  <c r="B184" i="30"/>
  <c r="A184" i="30"/>
  <c r="M183" i="30"/>
  <c r="J183" i="30"/>
  <c r="G183" i="30"/>
  <c r="D183" i="30"/>
  <c r="B183" i="30"/>
  <c r="A183" i="30"/>
  <c r="M182" i="30"/>
  <c r="J182" i="30"/>
  <c r="G182" i="30"/>
  <c r="I182" i="30" s="1"/>
  <c r="D182" i="30"/>
  <c r="B182" i="30"/>
  <c r="A182" i="30"/>
  <c r="M181" i="30"/>
  <c r="J181" i="30"/>
  <c r="G181" i="30"/>
  <c r="D181" i="30"/>
  <c r="B181" i="30"/>
  <c r="A181" i="30"/>
  <c r="M180" i="30"/>
  <c r="J180" i="30"/>
  <c r="G180" i="30"/>
  <c r="D180" i="30"/>
  <c r="B180" i="30"/>
  <c r="A180" i="30"/>
  <c r="M179" i="30"/>
  <c r="J179" i="30"/>
  <c r="G179" i="30"/>
  <c r="D179" i="30"/>
  <c r="B179" i="30"/>
  <c r="A179" i="30"/>
  <c r="M178" i="30"/>
  <c r="J178" i="30"/>
  <c r="G178" i="30"/>
  <c r="D178" i="30"/>
  <c r="B178" i="30"/>
  <c r="A178" i="30"/>
  <c r="M177" i="30"/>
  <c r="J177" i="30"/>
  <c r="G177" i="30"/>
  <c r="D177" i="30"/>
  <c r="B177" i="30"/>
  <c r="A177" i="30"/>
  <c r="M176" i="30"/>
  <c r="J176" i="30"/>
  <c r="G176" i="30"/>
  <c r="I176" i="30" s="1"/>
  <c r="D176" i="30"/>
  <c r="B176" i="30"/>
  <c r="A176" i="30"/>
  <c r="M175" i="30"/>
  <c r="J175" i="30"/>
  <c r="G175" i="30"/>
  <c r="D175" i="30"/>
  <c r="B175" i="30"/>
  <c r="A175" i="30"/>
  <c r="M174" i="30"/>
  <c r="J174" i="30"/>
  <c r="G174" i="30"/>
  <c r="I174" i="30" s="1"/>
  <c r="D174" i="30"/>
  <c r="B174" i="30"/>
  <c r="A174" i="30"/>
  <c r="M173" i="30"/>
  <c r="J173" i="30"/>
  <c r="G173" i="30"/>
  <c r="I173" i="30" s="1"/>
  <c r="D173" i="30"/>
  <c r="B173" i="30"/>
  <c r="A173" i="30"/>
  <c r="M172" i="30"/>
  <c r="J172" i="30"/>
  <c r="G172" i="30"/>
  <c r="I172" i="30" s="1"/>
  <c r="D172" i="30"/>
  <c r="B172" i="30"/>
  <c r="A172" i="30"/>
  <c r="M171" i="30"/>
  <c r="J171" i="30"/>
  <c r="G171" i="30"/>
  <c r="D171" i="30"/>
  <c r="B171" i="30"/>
  <c r="A171" i="30"/>
  <c r="M170" i="30"/>
  <c r="J170" i="30"/>
  <c r="G170" i="30"/>
  <c r="D170" i="30"/>
  <c r="B170" i="30"/>
  <c r="A170" i="30"/>
  <c r="M169" i="30"/>
  <c r="J169" i="30"/>
  <c r="G169" i="30"/>
  <c r="D169" i="30"/>
  <c r="B169" i="30"/>
  <c r="A169" i="30"/>
  <c r="M168" i="30"/>
  <c r="J168" i="30"/>
  <c r="G168" i="30"/>
  <c r="D168" i="30"/>
  <c r="B168" i="30"/>
  <c r="A168" i="30"/>
  <c r="M167" i="30"/>
  <c r="J167" i="30"/>
  <c r="G167" i="30"/>
  <c r="D167" i="30"/>
  <c r="B167" i="30"/>
  <c r="A167" i="30"/>
  <c r="M166" i="30"/>
  <c r="J166" i="30"/>
  <c r="G166" i="30"/>
  <c r="I166" i="30" s="1"/>
  <c r="D166" i="30"/>
  <c r="B166" i="30"/>
  <c r="A166" i="30"/>
  <c r="M165" i="30"/>
  <c r="J165" i="30"/>
  <c r="G165" i="30"/>
  <c r="I165" i="30" s="1"/>
  <c r="D165" i="30"/>
  <c r="B165" i="30"/>
  <c r="A165" i="30"/>
  <c r="M164" i="30"/>
  <c r="J164" i="30"/>
  <c r="G164" i="30"/>
  <c r="I164" i="30" s="1"/>
  <c r="D164" i="30"/>
  <c r="B164" i="30"/>
  <c r="A164" i="30"/>
  <c r="M163" i="30"/>
  <c r="J163" i="30"/>
  <c r="G163" i="30"/>
  <c r="D163" i="30"/>
  <c r="B163" i="30"/>
  <c r="A163" i="30"/>
  <c r="M162" i="30"/>
  <c r="J162" i="30"/>
  <c r="G162" i="30"/>
  <c r="D162" i="30"/>
  <c r="B162" i="30"/>
  <c r="A162" i="30"/>
  <c r="M161" i="30"/>
  <c r="J161" i="30"/>
  <c r="G161" i="30"/>
  <c r="D161" i="30"/>
  <c r="B161" i="30"/>
  <c r="A161" i="30"/>
  <c r="M160" i="30"/>
  <c r="J160" i="30"/>
  <c r="G160" i="30"/>
  <c r="I160" i="30" s="1"/>
  <c r="D160" i="30"/>
  <c r="B160" i="30"/>
  <c r="A160" i="30"/>
  <c r="M159" i="30"/>
  <c r="J159" i="30"/>
  <c r="G159" i="30"/>
  <c r="D159" i="30"/>
  <c r="B159" i="30"/>
  <c r="A159" i="30"/>
  <c r="M158" i="30"/>
  <c r="J158" i="30"/>
  <c r="G158" i="30"/>
  <c r="I158" i="30" s="1"/>
  <c r="D158" i="30"/>
  <c r="B158" i="30"/>
  <c r="A158" i="30"/>
  <c r="M157" i="30"/>
  <c r="J157" i="30"/>
  <c r="G157" i="30"/>
  <c r="D157" i="30"/>
  <c r="B157" i="30"/>
  <c r="A157" i="30"/>
  <c r="M156" i="30"/>
  <c r="J156" i="30"/>
  <c r="G156" i="30"/>
  <c r="D156" i="30"/>
  <c r="B156" i="30"/>
  <c r="A156" i="30"/>
  <c r="M155" i="30"/>
  <c r="J155" i="30"/>
  <c r="G155" i="30"/>
  <c r="D155" i="30"/>
  <c r="B155" i="30"/>
  <c r="A155" i="30"/>
  <c r="M154" i="30"/>
  <c r="J154" i="30"/>
  <c r="G154" i="30"/>
  <c r="D154" i="30"/>
  <c r="B154" i="30"/>
  <c r="A154" i="30"/>
  <c r="M153" i="30"/>
  <c r="J153" i="30"/>
  <c r="G153" i="30"/>
  <c r="D153" i="30"/>
  <c r="B153" i="30"/>
  <c r="A153" i="30"/>
  <c r="M152" i="30"/>
  <c r="J152" i="30"/>
  <c r="G152" i="30"/>
  <c r="I152" i="30" s="1"/>
  <c r="D152" i="30"/>
  <c r="B152" i="30"/>
  <c r="A152" i="30"/>
  <c r="M151" i="30"/>
  <c r="J151" i="30"/>
  <c r="G151" i="30"/>
  <c r="D151" i="30"/>
  <c r="B151" i="30"/>
  <c r="A151" i="30"/>
  <c r="M150" i="30"/>
  <c r="J150" i="30"/>
  <c r="G150" i="30"/>
  <c r="I150" i="30" s="1"/>
  <c r="D150" i="30"/>
  <c r="B150" i="30"/>
  <c r="A150" i="30"/>
  <c r="M149" i="30"/>
  <c r="J149" i="30"/>
  <c r="G149" i="30"/>
  <c r="I149" i="30" s="1"/>
  <c r="D149" i="30"/>
  <c r="B149" i="30"/>
  <c r="A149" i="30"/>
  <c r="M148" i="30"/>
  <c r="J148" i="30"/>
  <c r="G148" i="30"/>
  <c r="I148" i="30" s="1"/>
  <c r="D148" i="30"/>
  <c r="B148" i="30"/>
  <c r="A148" i="30"/>
  <c r="M147" i="30"/>
  <c r="J147" i="30"/>
  <c r="G147" i="30"/>
  <c r="D147" i="30"/>
  <c r="B147" i="30"/>
  <c r="A147" i="30"/>
  <c r="M146" i="30"/>
  <c r="J146" i="30"/>
  <c r="G146" i="30"/>
  <c r="D146" i="30"/>
  <c r="B146" i="30"/>
  <c r="A146" i="30"/>
  <c r="M145" i="30"/>
  <c r="J145" i="30"/>
  <c r="G145" i="30"/>
  <c r="D145" i="30"/>
  <c r="B145" i="30"/>
  <c r="A145" i="30"/>
  <c r="M144" i="30"/>
  <c r="J144" i="30"/>
  <c r="G144" i="30"/>
  <c r="D144" i="30"/>
  <c r="B144" i="30"/>
  <c r="A144" i="30"/>
  <c r="M143" i="30"/>
  <c r="J143" i="30"/>
  <c r="G143" i="30"/>
  <c r="D143" i="30"/>
  <c r="B143" i="30"/>
  <c r="A143" i="30"/>
  <c r="M142" i="30"/>
  <c r="J142" i="30"/>
  <c r="G142" i="30"/>
  <c r="I142" i="30" s="1"/>
  <c r="D142" i="30"/>
  <c r="B142" i="30"/>
  <c r="A142" i="30"/>
  <c r="M141" i="30"/>
  <c r="J141" i="30"/>
  <c r="G141" i="30"/>
  <c r="D141" i="30"/>
  <c r="B141" i="30"/>
  <c r="A141" i="30"/>
  <c r="M140" i="30"/>
  <c r="J140" i="30"/>
  <c r="G140" i="30"/>
  <c r="I140" i="30" s="1"/>
  <c r="D140" i="30"/>
  <c r="B140" i="30"/>
  <c r="A140" i="30"/>
  <c r="M139" i="30"/>
  <c r="J139" i="30"/>
  <c r="G139" i="30"/>
  <c r="D139" i="30"/>
  <c r="B139" i="30"/>
  <c r="A139" i="30"/>
  <c r="M138" i="30"/>
  <c r="J138" i="30"/>
  <c r="G138" i="30"/>
  <c r="D138" i="30"/>
  <c r="B138" i="30"/>
  <c r="A138" i="30"/>
  <c r="M137" i="30"/>
  <c r="J137" i="30"/>
  <c r="G137" i="30"/>
  <c r="D137" i="30"/>
  <c r="B137" i="30"/>
  <c r="A137" i="30"/>
  <c r="M136" i="30"/>
  <c r="J136" i="30"/>
  <c r="G136" i="30"/>
  <c r="I136" i="30" s="1"/>
  <c r="D136" i="30"/>
  <c r="B136" i="30"/>
  <c r="A136" i="30"/>
  <c r="M135" i="30"/>
  <c r="J135" i="30"/>
  <c r="G135" i="30"/>
  <c r="D135" i="30"/>
  <c r="B135" i="30"/>
  <c r="A135" i="30"/>
  <c r="M134" i="30"/>
  <c r="J134" i="30"/>
  <c r="G134" i="30"/>
  <c r="I134" i="30" s="1"/>
  <c r="D134" i="30"/>
  <c r="B134" i="30"/>
  <c r="A134" i="30"/>
  <c r="M133" i="30"/>
  <c r="J133" i="30"/>
  <c r="G133" i="30"/>
  <c r="D133" i="30"/>
  <c r="B133" i="30"/>
  <c r="A133" i="30"/>
  <c r="M132" i="30"/>
  <c r="J132" i="30"/>
  <c r="G132" i="30"/>
  <c r="D132" i="30"/>
  <c r="B132" i="30"/>
  <c r="A132" i="30"/>
  <c r="M131" i="30"/>
  <c r="J131" i="30"/>
  <c r="G131" i="30"/>
  <c r="D131" i="30"/>
  <c r="B131" i="30"/>
  <c r="A131" i="30"/>
  <c r="M130" i="30"/>
  <c r="J130" i="30"/>
  <c r="G130" i="30"/>
  <c r="D130" i="30"/>
  <c r="B130" i="30"/>
  <c r="A130" i="30"/>
  <c r="M129" i="30"/>
  <c r="J129" i="30"/>
  <c r="G129" i="30"/>
  <c r="D129" i="30"/>
  <c r="B129" i="30"/>
  <c r="A129" i="30"/>
  <c r="M128" i="30"/>
  <c r="J128" i="30"/>
  <c r="G128" i="30"/>
  <c r="I128" i="30" s="1"/>
  <c r="D128" i="30"/>
  <c r="B128" i="30"/>
  <c r="A128" i="30"/>
  <c r="M127" i="30"/>
  <c r="J127" i="30"/>
  <c r="G127" i="30"/>
  <c r="D127" i="30"/>
  <c r="B127" i="30"/>
  <c r="A127" i="30"/>
  <c r="M126" i="30"/>
  <c r="J126" i="30"/>
  <c r="G126" i="30"/>
  <c r="I126" i="30" s="1"/>
  <c r="D126" i="30"/>
  <c r="B126" i="30"/>
  <c r="A126" i="30"/>
  <c r="M125" i="30"/>
  <c r="J125" i="30"/>
  <c r="G125" i="30"/>
  <c r="I125" i="30" s="1"/>
  <c r="D125" i="30"/>
  <c r="B125" i="30"/>
  <c r="A125" i="30"/>
  <c r="M124" i="30"/>
  <c r="J124" i="30"/>
  <c r="G124" i="30"/>
  <c r="I124" i="30" s="1"/>
  <c r="D124" i="30"/>
  <c r="B124" i="30"/>
  <c r="A124" i="30"/>
  <c r="M123" i="30"/>
  <c r="J123" i="30"/>
  <c r="G123" i="30"/>
  <c r="D123" i="30"/>
  <c r="B123" i="30"/>
  <c r="A123" i="30"/>
  <c r="M122" i="30"/>
  <c r="J122" i="30"/>
  <c r="G122" i="30"/>
  <c r="D122" i="30"/>
  <c r="B122" i="30"/>
  <c r="A122" i="30"/>
  <c r="M121" i="30"/>
  <c r="J121" i="30"/>
  <c r="G121" i="30"/>
  <c r="D121" i="30"/>
  <c r="B121" i="30"/>
  <c r="A121" i="30"/>
  <c r="M120" i="30"/>
  <c r="J120" i="30"/>
  <c r="G120" i="30"/>
  <c r="D120" i="30"/>
  <c r="B120" i="30"/>
  <c r="A120" i="30"/>
  <c r="M119" i="30"/>
  <c r="J119" i="30"/>
  <c r="G119" i="30"/>
  <c r="D119" i="30"/>
  <c r="B119" i="30"/>
  <c r="A119" i="30"/>
  <c r="M118" i="30"/>
  <c r="J118" i="30"/>
  <c r="G118" i="30"/>
  <c r="I118" i="30" s="1"/>
  <c r="D118" i="30"/>
  <c r="B118" i="30"/>
  <c r="A118" i="30"/>
  <c r="M117" i="30"/>
  <c r="J117" i="30"/>
  <c r="G117" i="30"/>
  <c r="I117" i="30" s="1"/>
  <c r="D117" i="30"/>
  <c r="B117" i="30"/>
  <c r="A117" i="30"/>
  <c r="M116" i="30"/>
  <c r="J116" i="30"/>
  <c r="G116" i="30"/>
  <c r="I116" i="30" s="1"/>
  <c r="D116" i="30"/>
  <c r="B116" i="30"/>
  <c r="A116" i="30"/>
  <c r="M115" i="30"/>
  <c r="J115" i="30"/>
  <c r="G115" i="30"/>
  <c r="D115" i="30"/>
  <c r="B115" i="30"/>
  <c r="A115" i="30"/>
  <c r="M114" i="30"/>
  <c r="J114" i="30"/>
  <c r="G114" i="30"/>
  <c r="D114" i="30"/>
  <c r="B114" i="30"/>
  <c r="A114" i="30"/>
  <c r="M113" i="30"/>
  <c r="J113" i="30"/>
  <c r="G113" i="30"/>
  <c r="D113" i="30"/>
  <c r="B113" i="30"/>
  <c r="A113" i="30"/>
  <c r="M112" i="30"/>
  <c r="J112" i="30"/>
  <c r="G112" i="30"/>
  <c r="I112" i="30" s="1"/>
  <c r="D112" i="30"/>
  <c r="B112" i="30"/>
  <c r="A112" i="30"/>
  <c r="M111" i="30"/>
  <c r="J111" i="30"/>
  <c r="G111" i="30"/>
  <c r="D111" i="30"/>
  <c r="B111" i="30"/>
  <c r="A111" i="30"/>
  <c r="M110" i="30"/>
  <c r="J110" i="30"/>
  <c r="G110" i="30"/>
  <c r="I110" i="30" s="1"/>
  <c r="D110" i="30"/>
  <c r="B110" i="30"/>
  <c r="A110" i="30"/>
  <c r="M109" i="30"/>
  <c r="J109" i="30"/>
  <c r="G109" i="30"/>
  <c r="D109" i="30"/>
  <c r="B109" i="30"/>
  <c r="A109" i="30"/>
  <c r="M108" i="30"/>
  <c r="J108" i="30"/>
  <c r="G108" i="30"/>
  <c r="D108" i="30"/>
  <c r="B108" i="30"/>
  <c r="A108" i="30"/>
  <c r="M107" i="30"/>
  <c r="J107" i="30"/>
  <c r="G107" i="30"/>
  <c r="D107" i="30"/>
  <c r="B107" i="30"/>
  <c r="A107" i="30"/>
  <c r="M106" i="30"/>
  <c r="J106" i="30"/>
  <c r="G106" i="30"/>
  <c r="D106" i="30"/>
  <c r="B106" i="30"/>
  <c r="A106" i="30"/>
  <c r="M105" i="30"/>
  <c r="J105" i="30"/>
  <c r="G105" i="30"/>
  <c r="D105" i="30"/>
  <c r="B105" i="30"/>
  <c r="A105" i="30"/>
  <c r="M104" i="30"/>
  <c r="J104" i="30"/>
  <c r="G104" i="30"/>
  <c r="I104" i="30" s="1"/>
  <c r="D104" i="30"/>
  <c r="B104" i="30"/>
  <c r="A104" i="30"/>
  <c r="M103" i="30"/>
  <c r="J103" i="30"/>
  <c r="G103" i="30"/>
  <c r="D103" i="30"/>
  <c r="B103" i="30"/>
  <c r="A103" i="30"/>
  <c r="M102" i="30"/>
  <c r="J102" i="30"/>
  <c r="G102" i="30"/>
  <c r="I102" i="30" s="1"/>
  <c r="D102" i="30"/>
  <c r="B102" i="30"/>
  <c r="A102" i="30"/>
  <c r="M101" i="30"/>
  <c r="J101" i="30"/>
  <c r="G101" i="30"/>
  <c r="I101" i="30" s="1"/>
  <c r="D101" i="30"/>
  <c r="B101" i="30"/>
  <c r="A101" i="30"/>
  <c r="M100" i="30"/>
  <c r="J100" i="30"/>
  <c r="G100" i="30"/>
  <c r="I100" i="30" s="1"/>
  <c r="D100" i="30"/>
  <c r="B100" i="30"/>
  <c r="A100" i="30"/>
  <c r="M99" i="30"/>
  <c r="J99" i="30"/>
  <c r="G99" i="30"/>
  <c r="D99" i="30"/>
  <c r="B99" i="30"/>
  <c r="A99" i="30"/>
  <c r="M98" i="30"/>
  <c r="J98" i="30"/>
  <c r="G98" i="30"/>
  <c r="D98" i="30"/>
  <c r="B98" i="30"/>
  <c r="A98" i="30"/>
  <c r="M97" i="30"/>
  <c r="J97" i="30"/>
  <c r="G97" i="30"/>
  <c r="D97" i="30"/>
  <c r="B97" i="30"/>
  <c r="A97" i="30"/>
  <c r="M96" i="30"/>
  <c r="J96" i="30"/>
  <c r="G96" i="30"/>
  <c r="D96" i="30"/>
  <c r="B96" i="30"/>
  <c r="A96" i="30"/>
  <c r="M95" i="30"/>
  <c r="J95" i="30"/>
  <c r="G95" i="30"/>
  <c r="D95" i="30"/>
  <c r="B95" i="30"/>
  <c r="A95" i="30"/>
  <c r="M94" i="30"/>
  <c r="J94" i="30"/>
  <c r="G94" i="30"/>
  <c r="I94" i="30" s="1"/>
  <c r="D94" i="30"/>
  <c r="B94" i="30"/>
  <c r="A94" i="30"/>
  <c r="M93" i="30"/>
  <c r="J93" i="30"/>
  <c r="G93" i="30"/>
  <c r="I93" i="30" s="1"/>
  <c r="D93" i="30"/>
  <c r="B93" i="30"/>
  <c r="A93" i="30"/>
  <c r="M92" i="30"/>
  <c r="J92" i="30"/>
  <c r="G92" i="30"/>
  <c r="I92" i="30" s="1"/>
  <c r="D92" i="30"/>
  <c r="B92" i="30"/>
  <c r="A92" i="30"/>
  <c r="M91" i="30"/>
  <c r="J91" i="30"/>
  <c r="G91" i="30"/>
  <c r="D91" i="30"/>
  <c r="B91" i="30"/>
  <c r="A91" i="30"/>
  <c r="M90" i="30"/>
  <c r="J90" i="30"/>
  <c r="G90" i="30"/>
  <c r="D90" i="30"/>
  <c r="B90" i="30"/>
  <c r="A90" i="30"/>
  <c r="M89" i="30"/>
  <c r="J89" i="30"/>
  <c r="G89" i="30"/>
  <c r="D89" i="30"/>
  <c r="B89" i="30"/>
  <c r="A89" i="30"/>
  <c r="M88" i="30"/>
  <c r="J88" i="30"/>
  <c r="G88" i="30"/>
  <c r="I88" i="30" s="1"/>
  <c r="D88" i="30"/>
  <c r="B88" i="30"/>
  <c r="A88" i="30"/>
  <c r="M87" i="30"/>
  <c r="J87" i="30"/>
  <c r="G87" i="30"/>
  <c r="D87" i="30"/>
  <c r="B87" i="30"/>
  <c r="A87" i="30"/>
  <c r="M86" i="30"/>
  <c r="J86" i="30"/>
  <c r="G86" i="30"/>
  <c r="I86" i="30" s="1"/>
  <c r="D86" i="30"/>
  <c r="B86" i="30"/>
  <c r="A86" i="30"/>
  <c r="M85" i="30"/>
  <c r="J85" i="30"/>
  <c r="G85" i="30"/>
  <c r="D85" i="30"/>
  <c r="B85" i="30"/>
  <c r="A85" i="30"/>
  <c r="M84" i="30"/>
  <c r="J84" i="30"/>
  <c r="G84" i="30"/>
  <c r="D84" i="30"/>
  <c r="B84" i="30"/>
  <c r="A84" i="30"/>
  <c r="M83" i="30"/>
  <c r="J83" i="30"/>
  <c r="G83" i="30"/>
  <c r="D83" i="30"/>
  <c r="B83" i="30"/>
  <c r="A83" i="30"/>
  <c r="M82" i="30"/>
  <c r="J82" i="30"/>
  <c r="G82" i="30"/>
  <c r="D82" i="30"/>
  <c r="B82" i="30"/>
  <c r="A82" i="30"/>
  <c r="M81" i="30"/>
  <c r="J81" i="30"/>
  <c r="G81" i="30"/>
  <c r="D81" i="30"/>
  <c r="B81" i="30"/>
  <c r="A81" i="30"/>
  <c r="M80" i="30"/>
  <c r="J80" i="30"/>
  <c r="G80" i="30"/>
  <c r="I80" i="30" s="1"/>
  <c r="D80" i="30"/>
  <c r="B80" i="30"/>
  <c r="A80" i="30"/>
  <c r="M79" i="30"/>
  <c r="J79" i="30"/>
  <c r="G79" i="30"/>
  <c r="D79" i="30"/>
  <c r="B79" i="30"/>
  <c r="A79" i="30"/>
  <c r="M78" i="30"/>
  <c r="J78" i="30"/>
  <c r="G78" i="30"/>
  <c r="I78" i="30" s="1"/>
  <c r="D78" i="30"/>
  <c r="B78" i="30"/>
  <c r="A78" i="30"/>
  <c r="M77" i="30"/>
  <c r="J77" i="30"/>
  <c r="G77" i="30"/>
  <c r="D77" i="30"/>
  <c r="B77" i="30"/>
  <c r="A77" i="30"/>
  <c r="M76" i="30"/>
  <c r="J76" i="30"/>
  <c r="G76" i="30"/>
  <c r="I76" i="30" s="1"/>
  <c r="D76" i="30"/>
  <c r="B76" i="30"/>
  <c r="A76" i="30"/>
  <c r="M75" i="30"/>
  <c r="J75" i="30"/>
  <c r="G75" i="30"/>
  <c r="D75" i="30"/>
  <c r="B75" i="30"/>
  <c r="A75" i="30"/>
  <c r="M74" i="30"/>
  <c r="J74" i="30"/>
  <c r="G74" i="30"/>
  <c r="D74" i="30"/>
  <c r="B74" i="30"/>
  <c r="A74" i="30"/>
  <c r="M73" i="30"/>
  <c r="J73" i="30"/>
  <c r="G73" i="30"/>
  <c r="D73" i="30"/>
  <c r="B73" i="30"/>
  <c r="A73" i="30"/>
  <c r="M72" i="30"/>
  <c r="J72" i="30"/>
  <c r="G72" i="30"/>
  <c r="D72" i="30"/>
  <c r="B72" i="30"/>
  <c r="A72" i="30"/>
  <c r="M71" i="30"/>
  <c r="J71" i="30"/>
  <c r="G71" i="30"/>
  <c r="D71" i="30"/>
  <c r="B71" i="30"/>
  <c r="A71" i="30"/>
  <c r="M70" i="30"/>
  <c r="J70" i="30"/>
  <c r="G70" i="30"/>
  <c r="I70" i="30" s="1"/>
  <c r="D70" i="30"/>
  <c r="B70" i="30"/>
  <c r="A70" i="30"/>
  <c r="M69" i="30"/>
  <c r="J69" i="30"/>
  <c r="G69" i="30"/>
  <c r="I69" i="30" s="1"/>
  <c r="D69" i="30"/>
  <c r="B69" i="30"/>
  <c r="A69" i="30"/>
  <c r="M68" i="30"/>
  <c r="J68" i="30"/>
  <c r="G68" i="30"/>
  <c r="I68" i="30" s="1"/>
  <c r="D68" i="30"/>
  <c r="B68" i="30"/>
  <c r="A68" i="30"/>
  <c r="M67" i="30"/>
  <c r="J67" i="30"/>
  <c r="G67" i="30"/>
  <c r="D67" i="30"/>
  <c r="B67" i="30"/>
  <c r="A67" i="30"/>
  <c r="M66" i="30"/>
  <c r="J66" i="30"/>
  <c r="G66" i="30"/>
  <c r="D66" i="30"/>
  <c r="B66" i="30"/>
  <c r="A66" i="30"/>
  <c r="M65" i="30"/>
  <c r="J65" i="30"/>
  <c r="G65" i="30"/>
  <c r="D65" i="30"/>
  <c r="B65" i="30"/>
  <c r="A65" i="30"/>
  <c r="M64" i="30"/>
  <c r="J64" i="30"/>
  <c r="G64" i="30"/>
  <c r="I64" i="30" s="1"/>
  <c r="D64" i="30"/>
  <c r="B64" i="30"/>
  <c r="A64" i="30"/>
  <c r="M63" i="30"/>
  <c r="J63" i="30"/>
  <c r="G63" i="30"/>
  <c r="D63" i="30"/>
  <c r="B63" i="30"/>
  <c r="A63" i="30"/>
  <c r="M62" i="30"/>
  <c r="J62" i="30"/>
  <c r="G62" i="30"/>
  <c r="I62" i="30" s="1"/>
  <c r="D62" i="30"/>
  <c r="B62" i="30"/>
  <c r="A62" i="30"/>
  <c r="M61" i="30"/>
  <c r="J61" i="30"/>
  <c r="G61" i="30"/>
  <c r="D61" i="30"/>
  <c r="B61" i="30"/>
  <c r="A61" i="30"/>
  <c r="M60" i="30"/>
  <c r="J60" i="30"/>
  <c r="G60" i="30"/>
  <c r="D60" i="30"/>
  <c r="B60" i="30"/>
  <c r="A60" i="30"/>
  <c r="M59" i="30"/>
  <c r="J59" i="30"/>
  <c r="G59" i="30"/>
  <c r="D59" i="30"/>
  <c r="B59" i="30"/>
  <c r="A59" i="30"/>
  <c r="M58" i="30"/>
  <c r="J58" i="30"/>
  <c r="G58" i="30"/>
  <c r="D58" i="30"/>
  <c r="B58" i="30"/>
  <c r="A58" i="30"/>
  <c r="M57" i="30"/>
  <c r="J57" i="30"/>
  <c r="G57" i="30"/>
  <c r="D57" i="30"/>
  <c r="B57" i="30"/>
  <c r="A57" i="30"/>
  <c r="M56" i="30"/>
  <c r="J56" i="30"/>
  <c r="G56" i="30"/>
  <c r="I56" i="30" s="1"/>
  <c r="D56" i="30"/>
  <c r="B56" i="30"/>
  <c r="A56" i="30"/>
  <c r="M55" i="30"/>
  <c r="J55" i="30"/>
  <c r="G55" i="30"/>
  <c r="D55" i="30"/>
  <c r="B55" i="30"/>
  <c r="A55" i="30"/>
  <c r="M54" i="30"/>
  <c r="J54" i="30"/>
  <c r="G54" i="30"/>
  <c r="I54" i="30" s="1"/>
  <c r="D54" i="30"/>
  <c r="B54" i="30"/>
  <c r="A54" i="30"/>
  <c r="M53" i="30"/>
  <c r="J53" i="30"/>
  <c r="G53" i="30"/>
  <c r="I53" i="30" s="1"/>
  <c r="D53" i="30"/>
  <c r="B53" i="30"/>
  <c r="A53" i="30"/>
  <c r="M52" i="30"/>
  <c r="J52" i="30"/>
  <c r="G52" i="30"/>
  <c r="I52" i="30" s="1"/>
  <c r="D52" i="30"/>
  <c r="B52" i="30"/>
  <c r="A52" i="30"/>
  <c r="M51" i="30"/>
  <c r="J51" i="30"/>
  <c r="G51" i="30"/>
  <c r="D51" i="30"/>
  <c r="B51" i="30"/>
  <c r="A51" i="30"/>
  <c r="M50" i="30"/>
  <c r="J50" i="30"/>
  <c r="G50" i="30"/>
  <c r="D50" i="30"/>
  <c r="B50" i="30"/>
  <c r="A50" i="30"/>
  <c r="M49" i="30"/>
  <c r="J49" i="30"/>
  <c r="G49" i="30"/>
  <c r="D49" i="30"/>
  <c r="B49" i="30"/>
  <c r="A49" i="30"/>
  <c r="M48" i="30"/>
  <c r="J48" i="30"/>
  <c r="G48" i="30"/>
  <c r="D48" i="30"/>
  <c r="B48" i="30"/>
  <c r="A48" i="30"/>
  <c r="M47" i="30"/>
  <c r="J47" i="30"/>
  <c r="G47" i="30"/>
  <c r="D47" i="30"/>
  <c r="B47" i="30"/>
  <c r="A47" i="30"/>
  <c r="M46" i="30"/>
  <c r="J46" i="30"/>
  <c r="G46" i="30"/>
  <c r="I46" i="30" s="1"/>
  <c r="D46" i="30"/>
  <c r="B46" i="30"/>
  <c r="A46" i="30"/>
  <c r="M45" i="30"/>
  <c r="J45" i="30"/>
  <c r="G45" i="30"/>
  <c r="I45" i="30" s="1"/>
  <c r="D45" i="30"/>
  <c r="B45" i="30"/>
  <c r="A45" i="30"/>
  <c r="M44" i="30"/>
  <c r="J44" i="30"/>
  <c r="G44" i="30"/>
  <c r="I44" i="30" s="1"/>
  <c r="D44" i="30"/>
  <c r="B44" i="30"/>
  <c r="A44" i="30"/>
  <c r="M43" i="30"/>
  <c r="J43" i="30"/>
  <c r="G43" i="30"/>
  <c r="D43" i="30"/>
  <c r="B43" i="30"/>
  <c r="A43" i="30"/>
  <c r="M42" i="30"/>
  <c r="J42" i="30"/>
  <c r="G42" i="30"/>
  <c r="D42" i="30"/>
  <c r="B42" i="30"/>
  <c r="A42" i="30"/>
  <c r="M41" i="30"/>
  <c r="J41" i="30"/>
  <c r="G41" i="30"/>
  <c r="D41" i="30"/>
  <c r="B41" i="30"/>
  <c r="A41" i="30"/>
  <c r="M40" i="30"/>
  <c r="J40" i="30"/>
  <c r="G40" i="30"/>
  <c r="I40" i="30" s="1"/>
  <c r="D40" i="30"/>
  <c r="B40" i="30"/>
  <c r="A40" i="30"/>
  <c r="M39" i="30"/>
  <c r="J39" i="30"/>
  <c r="G39" i="30"/>
  <c r="D39" i="30"/>
  <c r="B39" i="30"/>
  <c r="A39" i="30"/>
  <c r="M38" i="30"/>
  <c r="J38" i="30"/>
  <c r="G38" i="30"/>
  <c r="I38" i="30" s="1"/>
  <c r="D38" i="30"/>
  <c r="B38" i="30"/>
  <c r="A38" i="30"/>
  <c r="M37" i="30"/>
  <c r="J37" i="30"/>
  <c r="G37" i="30"/>
  <c r="D37" i="30"/>
  <c r="B37" i="30"/>
  <c r="A37" i="30"/>
  <c r="M36" i="30"/>
  <c r="J36" i="30"/>
  <c r="G36" i="30"/>
  <c r="D36" i="30"/>
  <c r="B36" i="30"/>
  <c r="A36" i="30"/>
  <c r="M35" i="30"/>
  <c r="J35" i="30"/>
  <c r="G35" i="30"/>
  <c r="D35" i="30"/>
  <c r="B35" i="30"/>
  <c r="A35" i="30"/>
  <c r="M34" i="30"/>
  <c r="J34" i="30"/>
  <c r="G34" i="30"/>
  <c r="D34" i="30"/>
  <c r="B34" i="30"/>
  <c r="A34" i="30"/>
  <c r="M33" i="30"/>
  <c r="J33" i="30"/>
  <c r="G33" i="30"/>
  <c r="D33" i="30"/>
  <c r="B33" i="30"/>
  <c r="A33" i="30"/>
  <c r="M32" i="30"/>
  <c r="J32" i="30"/>
  <c r="G32" i="30"/>
  <c r="I32" i="30" s="1"/>
  <c r="D32" i="30"/>
  <c r="B32" i="30"/>
  <c r="A32" i="30"/>
  <c r="M31" i="30"/>
  <c r="J31" i="30"/>
  <c r="G31" i="30"/>
  <c r="D31" i="30"/>
  <c r="B31" i="30"/>
  <c r="A31" i="30"/>
  <c r="M30" i="30"/>
  <c r="J30" i="30"/>
  <c r="G30" i="30"/>
  <c r="I30" i="30" s="1"/>
  <c r="D30" i="30"/>
  <c r="B30" i="30"/>
  <c r="A30" i="30"/>
  <c r="M29" i="30"/>
  <c r="J29" i="30"/>
  <c r="G29" i="30"/>
  <c r="D29" i="30"/>
  <c r="B29" i="30"/>
  <c r="A29" i="30"/>
  <c r="M28" i="30"/>
  <c r="J28" i="30"/>
  <c r="G28" i="30"/>
  <c r="I28" i="30" s="1"/>
  <c r="D28" i="30"/>
  <c r="B28" i="30"/>
  <c r="A28" i="30"/>
  <c r="M27" i="30"/>
  <c r="J27" i="30"/>
  <c r="G27" i="30"/>
  <c r="D27" i="30"/>
  <c r="B27" i="30"/>
  <c r="A27" i="30"/>
  <c r="M26" i="30"/>
  <c r="J26" i="30"/>
  <c r="G26" i="30"/>
  <c r="D26" i="30"/>
  <c r="B26" i="30"/>
  <c r="A26" i="30"/>
  <c r="M25" i="30"/>
  <c r="J25" i="30"/>
  <c r="G25" i="30"/>
  <c r="D25" i="30"/>
  <c r="B25" i="30"/>
  <c r="A25" i="30"/>
  <c r="M24" i="30"/>
  <c r="J24" i="30"/>
  <c r="G24" i="30"/>
  <c r="D24" i="30"/>
  <c r="B24" i="30"/>
  <c r="A24" i="30"/>
  <c r="M23" i="30"/>
  <c r="J23" i="30"/>
  <c r="G23" i="30"/>
  <c r="D23" i="30"/>
  <c r="B23" i="30"/>
  <c r="A23" i="30"/>
  <c r="M22" i="30"/>
  <c r="J22" i="30"/>
  <c r="G22" i="30"/>
  <c r="I22" i="30" s="1"/>
  <c r="D22" i="30"/>
  <c r="B22" i="30"/>
  <c r="A22" i="30"/>
  <c r="M21" i="30"/>
  <c r="J21" i="30"/>
  <c r="G21" i="30"/>
  <c r="D21" i="30"/>
  <c r="B21" i="30"/>
  <c r="A21" i="30"/>
  <c r="M20" i="30"/>
  <c r="J20" i="30"/>
  <c r="G20" i="30"/>
  <c r="I20" i="30" s="1"/>
  <c r="D20" i="30"/>
  <c r="B20" i="30"/>
  <c r="A20" i="30"/>
  <c r="M19" i="30"/>
  <c r="J19" i="30"/>
  <c r="G19" i="30"/>
  <c r="D19" i="30"/>
  <c r="B19" i="30"/>
  <c r="A19" i="30"/>
  <c r="M18" i="30"/>
  <c r="J18" i="30"/>
  <c r="G18" i="30"/>
  <c r="D18" i="30"/>
  <c r="B18" i="30"/>
  <c r="A18" i="30"/>
  <c r="M17" i="30"/>
  <c r="J17" i="30"/>
  <c r="G17" i="30"/>
  <c r="D17" i="30"/>
  <c r="B17" i="30"/>
  <c r="A17" i="30"/>
  <c r="M16" i="30"/>
  <c r="J16" i="30"/>
  <c r="G16" i="30"/>
  <c r="I16" i="30" s="1"/>
  <c r="D16" i="30"/>
  <c r="B16" i="30"/>
  <c r="M15" i="30"/>
  <c r="G15" i="30"/>
  <c r="D15" i="30"/>
  <c r="B15" i="30"/>
  <c r="A15" i="30"/>
  <c r="M14" i="30"/>
  <c r="J14" i="30"/>
  <c r="G14" i="30"/>
  <c r="D14" i="30"/>
  <c r="B14" i="30"/>
  <c r="A14" i="30"/>
  <c r="M13" i="30"/>
  <c r="J13" i="30"/>
  <c r="G13" i="30"/>
  <c r="D13" i="30"/>
  <c r="B13" i="30"/>
  <c r="A13" i="30"/>
  <c r="M12" i="30"/>
  <c r="J12" i="30"/>
  <c r="G12" i="30"/>
  <c r="D12" i="30"/>
  <c r="B12" i="30"/>
  <c r="A12" i="30"/>
  <c r="M11" i="30"/>
  <c r="J11" i="30"/>
  <c r="G11" i="30"/>
  <c r="D11" i="30"/>
  <c r="B11" i="30"/>
  <c r="A11" i="30"/>
  <c r="M10" i="30"/>
  <c r="J10" i="30"/>
  <c r="G10" i="30"/>
  <c r="D10" i="30"/>
  <c r="B10" i="30"/>
  <c r="A10" i="30"/>
  <c r="M9" i="30"/>
  <c r="J9" i="30"/>
  <c r="G9" i="30"/>
  <c r="D9" i="30"/>
  <c r="B9" i="30"/>
  <c r="A9" i="30"/>
  <c r="M8" i="30"/>
  <c r="O8" i="30" s="1"/>
  <c r="D8" i="30"/>
  <c r="B8" i="30"/>
  <c r="A8" i="30"/>
  <c r="B7" i="30"/>
  <c r="M5" i="30"/>
  <c r="J5" i="30"/>
  <c r="G2" i="32"/>
  <c r="F2" i="32"/>
  <c r="E2" i="32"/>
  <c r="K60" i="31"/>
  <c r="I60" i="31"/>
  <c r="G58" i="31"/>
  <c r="K57" i="31"/>
  <c r="I57" i="31"/>
  <c r="A57" i="31"/>
  <c r="A56" i="31"/>
  <c r="A55" i="31"/>
  <c r="A54" i="31"/>
  <c r="A53" i="31"/>
  <c r="A52" i="31"/>
  <c r="A51" i="31"/>
  <c r="K50" i="31"/>
  <c r="I50" i="31"/>
  <c r="A50" i="31"/>
  <c r="A49" i="31"/>
  <c r="A48" i="31"/>
  <c r="A47" i="31"/>
  <c r="A46" i="31"/>
  <c r="A45" i="31"/>
  <c r="A44" i="31"/>
  <c r="A43" i="31"/>
  <c r="E42" i="31"/>
  <c r="A42" i="31"/>
  <c r="A41" i="31"/>
  <c r="A40" i="31"/>
  <c r="A39" i="31"/>
  <c r="A38" i="31"/>
  <c r="A37" i="31"/>
  <c r="A36" i="31"/>
  <c r="A35" i="31"/>
  <c r="A34" i="31"/>
  <c r="A33" i="31"/>
  <c r="A32" i="31"/>
  <c r="A31" i="31"/>
  <c r="K30" i="31"/>
  <c r="I30" i="31"/>
  <c r="A30" i="31"/>
  <c r="A29" i="31"/>
  <c r="A28" i="31"/>
  <c r="A27" i="31"/>
  <c r="A26" i="31"/>
  <c r="A25" i="31"/>
  <c r="E24" i="31"/>
  <c r="A24" i="31"/>
  <c r="A23" i="31"/>
  <c r="A22" i="31"/>
  <c r="A21" i="31"/>
  <c r="A20" i="31"/>
  <c r="A19" i="31"/>
  <c r="A18" i="31"/>
  <c r="A17" i="31"/>
  <c r="A16" i="31"/>
  <c r="A15" i="31"/>
  <c r="A14" i="31"/>
  <c r="A13" i="31"/>
  <c r="E12" i="31"/>
  <c r="A12" i="31"/>
  <c r="A11" i="31"/>
  <c r="A10" i="31"/>
  <c r="A9" i="31"/>
  <c r="A8" i="31"/>
  <c r="K7" i="31"/>
  <c r="I7" i="31"/>
  <c r="G7" i="31"/>
  <c r="E7" i="31"/>
  <c r="A7" i="31"/>
  <c r="K6" i="31"/>
  <c r="I6" i="31"/>
  <c r="G6" i="31"/>
  <c r="E6" i="31"/>
  <c r="A6" i="31"/>
  <c r="A5" i="31"/>
  <c r="K4" i="31"/>
  <c r="I4" i="31"/>
  <c r="A4" i="31"/>
  <c r="A3" i="31"/>
  <c r="A2" i="31"/>
  <c r="E245" i="30"/>
  <c r="E236" i="30"/>
  <c r="E227" i="30"/>
  <c r="E216" i="30"/>
  <c r="E204" i="30"/>
  <c r="F204" i="30" s="1"/>
  <c r="E197" i="30"/>
  <c r="E191" i="30"/>
  <c r="E187" i="30"/>
  <c r="E170" i="30"/>
  <c r="E164" i="30"/>
  <c r="E157" i="30"/>
  <c r="E133" i="30"/>
  <c r="E129" i="30"/>
  <c r="E125" i="30"/>
  <c r="E121" i="30"/>
  <c r="E117" i="30"/>
  <c r="E113" i="30"/>
  <c r="E109" i="30"/>
  <c r="E101" i="30"/>
  <c r="E87" i="30"/>
  <c r="E80" i="30"/>
  <c r="E73" i="30"/>
  <c r="E59" i="30"/>
  <c r="E51" i="30"/>
  <c r="E43" i="30"/>
  <c r="E35" i="30"/>
  <c r="E30" i="30"/>
  <c r="E27" i="30"/>
  <c r="E25" i="30"/>
  <c r="E22" i="30"/>
  <c r="E20" i="30"/>
  <c r="E18" i="30"/>
  <c r="I59" i="30" l="1"/>
  <c r="I83" i="30"/>
  <c r="I107" i="30"/>
  <c r="I115" i="30"/>
  <c r="I131" i="30"/>
  <c r="I139" i="30"/>
  <c r="I163" i="30"/>
  <c r="I179" i="30"/>
  <c r="I187" i="30"/>
  <c r="I203" i="30"/>
  <c r="I227" i="30"/>
  <c r="I235" i="30"/>
  <c r="I42" i="30"/>
  <c r="I50" i="30"/>
  <c r="I58" i="30"/>
  <c r="I66" i="30"/>
  <c r="I74" i="30"/>
  <c r="I82" i="30"/>
  <c r="I90" i="30"/>
  <c r="I98" i="30"/>
  <c r="I106" i="30"/>
  <c r="I114" i="30"/>
  <c r="I122" i="30"/>
  <c r="I130" i="30"/>
  <c r="I138" i="30"/>
  <c r="I146" i="30"/>
  <c r="I154" i="30"/>
  <c r="I162" i="30"/>
  <c r="I170" i="30"/>
  <c r="I178" i="30"/>
  <c r="I186" i="30"/>
  <c r="I194" i="30"/>
  <c r="I202" i="30"/>
  <c r="I210" i="30"/>
  <c r="I218" i="30"/>
  <c r="I226" i="30"/>
  <c r="I234" i="30"/>
  <c r="I242" i="30"/>
  <c r="E11" i="30"/>
  <c r="E15" i="30"/>
  <c r="I77" i="30"/>
  <c r="I91" i="30"/>
  <c r="I29" i="30"/>
  <c r="I141" i="30"/>
  <c r="I155" i="30"/>
  <c r="I197" i="30"/>
  <c r="I211" i="30"/>
  <c r="I225" i="30"/>
  <c r="T53" i="26"/>
  <c r="V53" i="26"/>
  <c r="R54" i="26"/>
  <c r="Q55" i="26"/>
  <c r="S54" i="26"/>
  <c r="U54" i="26"/>
  <c r="Q54" i="25"/>
  <c r="U53" i="25"/>
  <c r="R53" i="25"/>
  <c r="S53" i="25"/>
  <c r="V52" i="25"/>
  <c r="T52" i="25"/>
  <c r="V53" i="10"/>
  <c r="T53" i="10"/>
  <c r="Q55" i="10"/>
  <c r="S55" i="10" s="1"/>
  <c r="U54" i="10"/>
  <c r="R54" i="10"/>
  <c r="P176" i="30"/>
  <c r="I12" i="30"/>
  <c r="I37" i="30"/>
  <c r="I43" i="30"/>
  <c r="I51" i="30"/>
  <c r="I61" i="30"/>
  <c r="I67" i="30"/>
  <c r="I75" i="30"/>
  <c r="I85" i="30"/>
  <c r="I99" i="30"/>
  <c r="I109" i="30"/>
  <c r="I123" i="30"/>
  <c r="I133" i="30"/>
  <c r="I147" i="30"/>
  <c r="I157" i="30"/>
  <c r="I171" i="30"/>
  <c r="I181" i="30"/>
  <c r="I195" i="30"/>
  <c r="I205" i="30"/>
  <c r="I217" i="30"/>
  <c r="I219" i="30"/>
  <c r="I229" i="30"/>
  <c r="I241" i="30"/>
  <c r="I243" i="30"/>
  <c r="I253" i="30"/>
  <c r="I24" i="30"/>
  <c r="I36" i="30"/>
  <c r="I48" i="30"/>
  <c r="I60" i="30"/>
  <c r="I72" i="30"/>
  <c r="I84" i="30"/>
  <c r="I96" i="30"/>
  <c r="I108" i="30"/>
  <c r="I120" i="30"/>
  <c r="I132" i="30"/>
  <c r="I144" i="30"/>
  <c r="I156" i="30"/>
  <c r="I168" i="30"/>
  <c r="I180" i="30"/>
  <c r="I192" i="30"/>
  <c r="I204" i="30"/>
  <c r="I216" i="30"/>
  <c r="I228" i="30"/>
  <c r="I240" i="30"/>
  <c r="I252" i="30"/>
  <c r="P66" i="30"/>
  <c r="P113" i="30"/>
  <c r="P117" i="30"/>
  <c r="P133" i="30"/>
  <c r="P221" i="30"/>
  <c r="P229" i="30"/>
  <c r="P253" i="30"/>
  <c r="P124" i="30"/>
  <c r="P105" i="30"/>
  <c r="P121" i="30"/>
  <c r="P145" i="30"/>
  <c r="I8" i="30"/>
  <c r="F113" i="30"/>
  <c r="F121" i="30"/>
  <c r="P256" i="30"/>
  <c r="F245" i="30"/>
  <c r="F129" i="30"/>
  <c r="P225" i="30"/>
  <c r="P196" i="30"/>
  <c r="P224" i="30"/>
  <c r="P248" i="30"/>
  <c r="N11" i="30"/>
  <c r="O11" i="30" s="1"/>
  <c r="F187" i="30"/>
  <c r="P245" i="30"/>
  <c r="P108" i="30"/>
  <c r="N12" i="30"/>
  <c r="O12" i="30" s="1"/>
  <c r="F191" i="30"/>
  <c r="F227" i="30"/>
  <c r="P249" i="30"/>
  <c r="N14" i="30"/>
  <c r="O14" i="30" s="1"/>
  <c r="O5" i="30"/>
  <c r="P233" i="30"/>
  <c r="I23" i="30"/>
  <c r="I31" i="30"/>
  <c r="I39" i="30"/>
  <c r="I47" i="30"/>
  <c r="I55" i="30"/>
  <c r="I63" i="30"/>
  <c r="I71" i="30"/>
  <c r="I79" i="30"/>
  <c r="I87" i="30"/>
  <c r="I95" i="30"/>
  <c r="I103" i="30"/>
  <c r="I111" i="30"/>
  <c r="P112" i="30"/>
  <c r="P116" i="30"/>
  <c r="I119" i="30"/>
  <c r="P120" i="30"/>
  <c r="I127" i="30"/>
  <c r="P128" i="30"/>
  <c r="P132" i="30"/>
  <c r="I135" i="30"/>
  <c r="P136" i="30"/>
  <c r="I143" i="30"/>
  <c r="P151" i="30"/>
  <c r="I159" i="30"/>
  <c r="I167" i="30"/>
  <c r="P168" i="30"/>
  <c r="I175" i="30"/>
  <c r="I183" i="30"/>
  <c r="P188" i="30"/>
  <c r="I191" i="30"/>
  <c r="I199" i="30"/>
  <c r="I207" i="30"/>
  <c r="P212" i="30"/>
  <c r="I215" i="30"/>
  <c r="I223" i="30"/>
  <c r="P228" i="30"/>
  <c r="P231" i="30"/>
  <c r="P232" i="30"/>
  <c r="P236" i="30"/>
  <c r="I239" i="30"/>
  <c r="P240" i="30"/>
  <c r="P244" i="30"/>
  <c r="I247" i="30"/>
  <c r="P252" i="30"/>
  <c r="I255" i="30"/>
  <c r="J258" i="30"/>
  <c r="P15" i="30"/>
  <c r="P78" i="30"/>
  <c r="P102" i="30"/>
  <c r="P106" i="30"/>
  <c r="P110" i="30"/>
  <c r="P114" i="30"/>
  <c r="P118" i="30"/>
  <c r="P122" i="30"/>
  <c r="P126" i="30"/>
  <c r="P130" i="30"/>
  <c r="P134" i="30"/>
  <c r="P138" i="30"/>
  <c r="P166" i="30"/>
  <c r="P174" i="30"/>
  <c r="P182" i="30"/>
  <c r="P186" i="30"/>
  <c r="P194" i="30"/>
  <c r="P198" i="30"/>
  <c r="N9" i="30"/>
  <c r="O9" i="30" s="1"/>
  <c r="P109" i="30"/>
  <c r="P237" i="30"/>
  <c r="N13" i="30"/>
  <c r="O13" i="30" s="1"/>
  <c r="P213" i="30"/>
  <c r="P257" i="30"/>
  <c r="N10" i="30"/>
  <c r="O10" i="30" s="1"/>
  <c r="N62" i="30"/>
  <c r="O62" i="30" s="1"/>
  <c r="P125" i="30"/>
  <c r="P217" i="30"/>
  <c r="P241" i="30"/>
  <c r="P21" i="30"/>
  <c r="P129" i="30"/>
  <c r="P87" i="30"/>
  <c r="P95" i="30"/>
  <c r="P99" i="30"/>
  <c r="P103" i="30"/>
  <c r="P107" i="30"/>
  <c r="P111" i="30"/>
  <c r="P115" i="30"/>
  <c r="P119" i="30"/>
  <c r="P123" i="30"/>
  <c r="P127" i="30"/>
  <c r="P131" i="30"/>
  <c r="P135" i="30"/>
  <c r="P147" i="30"/>
  <c r="P155" i="30"/>
  <c r="P159" i="30"/>
  <c r="P171" i="30"/>
  <c r="P179" i="30"/>
  <c r="P183" i="30"/>
  <c r="P187" i="30"/>
  <c r="P211" i="30"/>
  <c r="P215" i="30"/>
  <c r="P219" i="30"/>
  <c r="P227" i="30"/>
  <c r="P235" i="30"/>
  <c r="P239" i="30"/>
  <c r="P243" i="30"/>
  <c r="P247" i="30"/>
  <c r="P250" i="30"/>
  <c r="P251" i="30"/>
  <c r="P254" i="30"/>
  <c r="P255" i="30"/>
  <c r="I15" i="30"/>
  <c r="I151" i="30"/>
  <c r="F8" i="30"/>
  <c r="I231" i="30"/>
  <c r="F59" i="30"/>
  <c r="F157" i="30"/>
  <c r="F236" i="30"/>
  <c r="P14" i="30"/>
  <c r="I21" i="30"/>
  <c r="F11" i="30"/>
  <c r="Q258" i="30"/>
  <c r="P190" i="30"/>
  <c r="I25" i="30"/>
  <c r="I33" i="30"/>
  <c r="I41" i="30"/>
  <c r="I49" i="30"/>
  <c r="I57" i="30"/>
  <c r="I65" i="30"/>
  <c r="I73" i="30"/>
  <c r="I81" i="30"/>
  <c r="I89" i="30"/>
  <c r="I97" i="30"/>
  <c r="I105" i="30"/>
  <c r="I113" i="30"/>
  <c r="I121" i="30"/>
  <c r="I129" i="30"/>
  <c r="I137" i="30"/>
  <c r="I145" i="30"/>
  <c r="I153" i="30"/>
  <c r="I161" i="30"/>
  <c r="I169" i="30"/>
  <c r="I177" i="30"/>
  <c r="I185" i="30"/>
  <c r="I193" i="30"/>
  <c r="I201" i="30"/>
  <c r="I209" i="30"/>
  <c r="E244" i="30"/>
  <c r="F244" i="30" s="1"/>
  <c r="E235" i="30"/>
  <c r="F235" i="30" s="1"/>
  <c r="E220" i="30"/>
  <c r="F220" i="30" s="1"/>
  <c r="E210" i="30"/>
  <c r="F210" i="30" s="1"/>
  <c r="E180" i="30"/>
  <c r="E168" i="30"/>
  <c r="F168" i="30" s="1"/>
  <c r="E149" i="30"/>
  <c r="F149" i="30" s="1"/>
  <c r="E136" i="30"/>
  <c r="F136" i="30" s="1"/>
  <c r="E128" i="30"/>
  <c r="F128" i="30" s="1"/>
  <c r="E120" i="30"/>
  <c r="F120" i="30" s="1"/>
  <c r="E93" i="30"/>
  <c r="E78" i="30"/>
  <c r="E64" i="30"/>
  <c r="F64" i="30" s="1"/>
  <c r="E49" i="30"/>
  <c r="F49" i="30" s="1"/>
  <c r="E33" i="30"/>
  <c r="F33" i="30" s="1"/>
  <c r="E256" i="30"/>
  <c r="F256" i="30" s="1"/>
  <c r="E252" i="30"/>
  <c r="F252" i="30" s="1"/>
  <c r="E248" i="30"/>
  <c r="F248" i="30" s="1"/>
  <c r="E239" i="30"/>
  <c r="F239" i="30" s="1"/>
  <c r="E234" i="30"/>
  <c r="F234" i="30" s="1"/>
  <c r="E225" i="30"/>
  <c r="F225" i="30" s="1"/>
  <c r="E219" i="30"/>
  <c r="F219" i="30" s="1"/>
  <c r="E214" i="30"/>
  <c r="E209" i="30"/>
  <c r="F209" i="30" s="1"/>
  <c r="E201" i="30"/>
  <c r="F201" i="30" s="1"/>
  <c r="E195" i="30"/>
  <c r="F195" i="30" s="1"/>
  <c r="E190" i="30"/>
  <c r="F190" i="30" s="1"/>
  <c r="E185" i="30"/>
  <c r="F185" i="30" s="1"/>
  <c r="E179" i="30"/>
  <c r="F179" i="30" s="1"/>
  <c r="E161" i="30"/>
  <c r="F161" i="30" s="1"/>
  <c r="E148" i="30"/>
  <c r="F148" i="30" s="1"/>
  <c r="E142" i="30"/>
  <c r="F142" i="30" s="1"/>
  <c r="E108" i="30"/>
  <c r="F108" i="30" s="1"/>
  <c r="E104" i="30"/>
  <c r="F104" i="30" s="1"/>
  <c r="E92" i="30"/>
  <c r="F92" i="30" s="1"/>
  <c r="E85" i="30"/>
  <c r="F85" i="30" s="1"/>
  <c r="E70" i="30"/>
  <c r="F70" i="30" s="1"/>
  <c r="E63" i="30"/>
  <c r="F63" i="30" s="1"/>
  <c r="E56" i="30"/>
  <c r="F56" i="30" s="1"/>
  <c r="E48" i="30"/>
  <c r="E40" i="30"/>
  <c r="F40" i="30" s="1"/>
  <c r="E32" i="30"/>
  <c r="F32" i="30" s="1"/>
  <c r="E24" i="30"/>
  <c r="F24" i="30" s="1"/>
  <c r="E17" i="30"/>
  <c r="F17" i="30" s="1"/>
  <c r="E12" i="30"/>
  <c r="E55" i="30"/>
  <c r="F55" i="30" s="1"/>
  <c r="E47" i="30"/>
  <c r="E39" i="30"/>
  <c r="F39" i="30" s="1"/>
  <c r="E31" i="30"/>
  <c r="F31" i="30" s="1"/>
  <c r="E23" i="30"/>
  <c r="F23" i="30" s="1"/>
  <c r="E16" i="30"/>
  <c r="F16" i="30" s="1"/>
  <c r="E194" i="30"/>
  <c r="F194" i="30" s="1"/>
  <c r="E178" i="30"/>
  <c r="F178" i="30" s="1"/>
  <c r="E166" i="30"/>
  <c r="F166" i="30" s="1"/>
  <c r="E153" i="30"/>
  <c r="F153" i="30" s="1"/>
  <c r="E107" i="30"/>
  <c r="F107" i="30" s="1"/>
  <c r="E90" i="30"/>
  <c r="F90" i="30" s="1"/>
  <c r="E76" i="30"/>
  <c r="F76" i="30" s="1"/>
  <c r="E62" i="30"/>
  <c r="F62" i="30" s="1"/>
  <c r="E46" i="30"/>
  <c r="F46" i="30" s="1"/>
  <c r="E243" i="30"/>
  <c r="F243" i="30" s="1"/>
  <c r="E238" i="30"/>
  <c r="F238" i="30" s="1"/>
  <c r="E229" i="30"/>
  <c r="F229" i="30" s="1"/>
  <c r="E208" i="30"/>
  <c r="F208" i="30" s="1"/>
  <c r="E200" i="30"/>
  <c r="E189" i="30"/>
  <c r="E184" i="30"/>
  <c r="E173" i="30"/>
  <c r="F173" i="30" s="1"/>
  <c r="E167" i="30"/>
  <c r="F167" i="30" s="1"/>
  <c r="E160" i="30"/>
  <c r="F160" i="30" s="1"/>
  <c r="E154" i="30"/>
  <c r="F154" i="30" s="1"/>
  <c r="E147" i="30"/>
  <c r="F147" i="30" s="1"/>
  <c r="E141" i="30"/>
  <c r="F141" i="30" s="1"/>
  <c r="E135" i="30"/>
  <c r="F135" i="30" s="1"/>
  <c r="E131" i="30"/>
  <c r="F131" i="30" s="1"/>
  <c r="E127" i="30"/>
  <c r="E123" i="30"/>
  <c r="E119" i="30"/>
  <c r="E115" i="30"/>
  <c r="E111" i="30"/>
  <c r="F111" i="30" s="1"/>
  <c r="E103" i="30"/>
  <c r="E98" i="30"/>
  <c r="E91" i="30"/>
  <c r="E84" i="30"/>
  <c r="F84" i="30" s="1"/>
  <c r="E77" i="30"/>
  <c r="F77" i="30" s="1"/>
  <c r="E69" i="30"/>
  <c r="F69" i="30" s="1"/>
  <c r="E255" i="30"/>
  <c r="F255" i="30" s="1"/>
  <c r="E251" i="30"/>
  <c r="F251" i="30" s="1"/>
  <c r="E247" i="30"/>
  <c r="F247" i="30" s="1"/>
  <c r="E242" i="30"/>
  <c r="F242" i="30" s="1"/>
  <c r="E233" i="30"/>
  <c r="F233" i="30" s="1"/>
  <c r="E224" i="30"/>
  <c r="F224" i="30" s="1"/>
  <c r="E218" i="30"/>
  <c r="E213" i="30"/>
  <c r="F213" i="30" s="1"/>
  <c r="E207" i="30"/>
  <c r="F207" i="30" s="1"/>
  <c r="E199" i="30"/>
  <c r="F199" i="30" s="1"/>
  <c r="E188" i="30"/>
  <c r="F188" i="30" s="1"/>
  <c r="E183" i="30"/>
  <c r="F183" i="30" s="1"/>
  <c r="E172" i="30"/>
  <c r="F172" i="30" s="1"/>
  <c r="E159" i="30"/>
  <c r="F159" i="30" s="1"/>
  <c r="E140" i="30"/>
  <c r="F140" i="30" s="1"/>
  <c r="E97" i="30"/>
  <c r="F97" i="30" s="1"/>
  <c r="E83" i="30"/>
  <c r="F83" i="30" s="1"/>
  <c r="E68" i="30"/>
  <c r="F68" i="30" s="1"/>
  <c r="E54" i="30"/>
  <c r="E38" i="30"/>
  <c r="F38" i="30" s="1"/>
  <c r="E246" i="30"/>
  <c r="F246" i="30" s="1"/>
  <c r="E237" i="30"/>
  <c r="F237" i="30" s="1"/>
  <c r="E228" i="30"/>
  <c r="F228" i="30" s="1"/>
  <c r="E223" i="30"/>
  <c r="F223" i="30" s="1"/>
  <c r="E206" i="30"/>
  <c r="F206" i="30" s="1"/>
  <c r="E193" i="30"/>
  <c r="F193" i="30" s="1"/>
  <c r="E177" i="30"/>
  <c r="F177" i="30" s="1"/>
  <c r="E171" i="30"/>
  <c r="F171" i="30" s="1"/>
  <c r="E152" i="30"/>
  <c r="F152" i="30" s="1"/>
  <c r="E146" i="30"/>
  <c r="F146" i="30" s="1"/>
  <c r="E139" i="30"/>
  <c r="F139" i="30" s="1"/>
  <c r="E134" i="30"/>
  <c r="F134" i="30" s="1"/>
  <c r="E130" i="30"/>
  <c r="E126" i="30"/>
  <c r="F126" i="30" s="1"/>
  <c r="E122" i="30"/>
  <c r="E118" i="30"/>
  <c r="F118" i="30" s="1"/>
  <c r="E114" i="30"/>
  <c r="F114" i="30" s="1"/>
  <c r="E110" i="30"/>
  <c r="E102" i="30"/>
  <c r="F102" i="30" s="1"/>
  <c r="E96" i="30"/>
  <c r="F96" i="30" s="1"/>
  <c r="E89" i="30"/>
  <c r="F89" i="30" s="1"/>
  <c r="E82" i="30"/>
  <c r="F82" i="30" s="1"/>
  <c r="E75" i="30"/>
  <c r="F75" i="30" s="1"/>
  <c r="E67" i="30"/>
  <c r="E61" i="30"/>
  <c r="E53" i="30"/>
  <c r="F53" i="30" s="1"/>
  <c r="E45" i="30"/>
  <c r="F45" i="30" s="1"/>
  <c r="E37" i="30"/>
  <c r="F37" i="30" s="1"/>
  <c r="E29" i="30"/>
  <c r="F29" i="30" s="1"/>
  <c r="E254" i="30"/>
  <c r="F254" i="30" s="1"/>
  <c r="E250" i="30"/>
  <c r="F250" i="30" s="1"/>
  <c r="E241" i="30"/>
  <c r="F241" i="30" s="1"/>
  <c r="E232" i="30"/>
  <c r="F232" i="30" s="1"/>
  <c r="E222" i="30"/>
  <c r="F222" i="30" s="1"/>
  <c r="E217" i="30"/>
  <c r="F217" i="30" s="1"/>
  <c r="E212" i="30"/>
  <c r="F212" i="30" s="1"/>
  <c r="E205" i="30"/>
  <c r="F205" i="30" s="1"/>
  <c r="E198" i="30"/>
  <c r="F198" i="30" s="1"/>
  <c r="E192" i="30"/>
  <c r="E182" i="30"/>
  <c r="F182" i="30" s="1"/>
  <c r="E176" i="30"/>
  <c r="F176" i="30" s="1"/>
  <c r="E165" i="30"/>
  <c r="F165" i="30" s="1"/>
  <c r="E158" i="30"/>
  <c r="F158" i="30" s="1"/>
  <c r="E151" i="30"/>
  <c r="F151" i="30" s="1"/>
  <c r="E145" i="30"/>
  <c r="F145" i="30" s="1"/>
  <c r="E138" i="30"/>
  <c r="F138" i="30" s="1"/>
  <c r="E106" i="30"/>
  <c r="F106" i="30" s="1"/>
  <c r="E95" i="30"/>
  <c r="F95" i="30" s="1"/>
  <c r="E88" i="30"/>
  <c r="F88" i="30" s="1"/>
  <c r="E81" i="30"/>
  <c r="F81" i="30" s="1"/>
  <c r="E74" i="30"/>
  <c r="F74" i="30" s="1"/>
  <c r="E66" i="30"/>
  <c r="F66" i="30" s="1"/>
  <c r="E60" i="30"/>
  <c r="F60" i="30" s="1"/>
  <c r="E52" i="30"/>
  <c r="E44" i="30"/>
  <c r="E36" i="30"/>
  <c r="E28" i="30"/>
  <c r="F28" i="30" s="1"/>
  <c r="E21" i="30"/>
  <c r="E14" i="30"/>
  <c r="L14" i="30" s="1"/>
  <c r="E10" i="30"/>
  <c r="E257" i="30"/>
  <c r="F257" i="30" s="1"/>
  <c r="E253" i="30"/>
  <c r="F253" i="30" s="1"/>
  <c r="E249" i="30"/>
  <c r="F249" i="30" s="1"/>
  <c r="E240" i="30"/>
  <c r="F240" i="30" s="1"/>
  <c r="E231" i="30"/>
  <c r="F231" i="30" s="1"/>
  <c r="E226" i="30"/>
  <c r="F226" i="30" s="1"/>
  <c r="E221" i="30"/>
  <c r="F221" i="30" s="1"/>
  <c r="E215" i="30"/>
  <c r="F215" i="30" s="1"/>
  <c r="E211" i="30"/>
  <c r="E203" i="30"/>
  <c r="F203" i="30" s="1"/>
  <c r="E196" i="30"/>
  <c r="F196" i="30" s="1"/>
  <c r="E186" i="30"/>
  <c r="F186" i="30" s="1"/>
  <c r="E181" i="30"/>
  <c r="F181" i="30" s="1"/>
  <c r="E175" i="30"/>
  <c r="F175" i="30" s="1"/>
  <c r="E169" i="30"/>
  <c r="F169" i="30" s="1"/>
  <c r="E163" i="30"/>
  <c r="F163" i="30" s="1"/>
  <c r="E156" i="30"/>
  <c r="F156" i="30" s="1"/>
  <c r="E150" i="30"/>
  <c r="F150" i="30" s="1"/>
  <c r="E144" i="30"/>
  <c r="F144" i="30" s="1"/>
  <c r="E137" i="30"/>
  <c r="F137" i="30" s="1"/>
  <c r="E105" i="30"/>
  <c r="F105" i="30" s="1"/>
  <c r="E100" i="30"/>
  <c r="F100" i="30" s="1"/>
  <c r="E94" i="30"/>
  <c r="F94" i="30" s="1"/>
  <c r="E79" i="30"/>
  <c r="F79" i="30" s="1"/>
  <c r="E72" i="30"/>
  <c r="E65" i="30"/>
  <c r="E58" i="30"/>
  <c r="F58" i="30" s="1"/>
  <c r="E50" i="30"/>
  <c r="F50" i="30" s="1"/>
  <c r="E42" i="30"/>
  <c r="F42" i="30" s="1"/>
  <c r="E34" i="30"/>
  <c r="F34" i="30" s="1"/>
  <c r="E26" i="30"/>
  <c r="F26" i="30" s="1"/>
  <c r="E19" i="30"/>
  <c r="F19" i="30" s="1"/>
  <c r="E13" i="30"/>
  <c r="E9" i="30"/>
  <c r="E230" i="30"/>
  <c r="F230" i="30" s="1"/>
  <c r="E202" i="30"/>
  <c r="F202" i="30" s="1"/>
  <c r="E174" i="30"/>
  <c r="E162" i="30"/>
  <c r="F162" i="30" s="1"/>
  <c r="E155" i="30"/>
  <c r="F155" i="30" s="1"/>
  <c r="E143" i="30"/>
  <c r="F143" i="30" s="1"/>
  <c r="E132" i="30"/>
  <c r="F132" i="30" s="1"/>
  <c r="E124" i="30"/>
  <c r="F124" i="30" s="1"/>
  <c r="E116" i="30"/>
  <c r="F116" i="30" s="1"/>
  <c r="E112" i="30"/>
  <c r="F112" i="30" s="1"/>
  <c r="E99" i="30"/>
  <c r="F99" i="30" s="1"/>
  <c r="E86" i="30"/>
  <c r="F86" i="30" s="1"/>
  <c r="E71" i="30"/>
  <c r="F71" i="30" s="1"/>
  <c r="E57" i="30"/>
  <c r="F57" i="30" s="1"/>
  <c r="E41" i="30"/>
  <c r="F170" i="30"/>
  <c r="D258" i="30"/>
  <c r="M258" i="30"/>
  <c r="P11" i="30"/>
  <c r="I18" i="30"/>
  <c r="I26" i="30"/>
  <c r="I34" i="30"/>
  <c r="I19" i="30"/>
  <c r="I27" i="30"/>
  <c r="I35" i="30"/>
  <c r="I17" i="30"/>
  <c r="P13" i="30"/>
  <c r="I10" i="30"/>
  <c r="I11" i="30"/>
  <c r="I14" i="30"/>
  <c r="I13" i="30"/>
  <c r="I9" i="30"/>
  <c r="G258" i="30"/>
  <c r="P10" i="30"/>
  <c r="P12" i="30"/>
  <c r="P17" i="30"/>
  <c r="P9" i="30"/>
  <c r="K257" i="30"/>
  <c r="L257" i="30" s="1"/>
  <c r="K242" i="30"/>
  <c r="L242" i="30" s="1"/>
  <c r="K234" i="30"/>
  <c r="L234" i="30" s="1"/>
  <c r="K226" i="30"/>
  <c r="L226" i="30" s="1"/>
  <c r="K215" i="30"/>
  <c r="L215" i="30" s="1"/>
  <c r="K214" i="30"/>
  <c r="L214" i="30" s="1"/>
  <c r="K213" i="30"/>
  <c r="L213" i="30" s="1"/>
  <c r="K212" i="30"/>
  <c r="L212" i="30" s="1"/>
  <c r="K211" i="30"/>
  <c r="L211" i="30" s="1"/>
  <c r="K210" i="30"/>
  <c r="L210" i="30" s="1"/>
  <c r="K209" i="30"/>
  <c r="L209" i="30" s="1"/>
  <c r="K208" i="30"/>
  <c r="L208" i="30" s="1"/>
  <c r="K207" i="30"/>
  <c r="L207" i="30" s="1"/>
  <c r="K206" i="30"/>
  <c r="L206" i="30" s="1"/>
  <c r="K205" i="30"/>
  <c r="L205" i="30" s="1"/>
  <c r="K204" i="30"/>
  <c r="L204" i="30" s="1"/>
  <c r="K203" i="30"/>
  <c r="L203" i="30" s="1"/>
  <c r="K202" i="30"/>
  <c r="L202" i="30" s="1"/>
  <c r="K201" i="30"/>
  <c r="L201" i="30" s="1"/>
  <c r="K200" i="30"/>
  <c r="L200" i="30" s="1"/>
  <c r="K199" i="30"/>
  <c r="L199" i="30" s="1"/>
  <c r="K198" i="30"/>
  <c r="L198" i="30" s="1"/>
  <c r="K197" i="30"/>
  <c r="L197" i="30" s="1"/>
  <c r="K196" i="30"/>
  <c r="L196" i="30" s="1"/>
  <c r="K195" i="30"/>
  <c r="L195" i="30" s="1"/>
  <c r="K194" i="30"/>
  <c r="L194" i="30" s="1"/>
  <c r="K193" i="30"/>
  <c r="L193" i="30" s="1"/>
  <c r="K192" i="30"/>
  <c r="L192" i="30" s="1"/>
  <c r="K191" i="30"/>
  <c r="L191" i="30" s="1"/>
  <c r="K190" i="30"/>
  <c r="L190" i="30" s="1"/>
  <c r="K189" i="30"/>
  <c r="L189" i="30" s="1"/>
  <c r="K188" i="30"/>
  <c r="L188" i="30" s="1"/>
  <c r="K187" i="30"/>
  <c r="L187" i="30" s="1"/>
  <c r="K186" i="30"/>
  <c r="L186" i="30" s="1"/>
  <c r="K256" i="30"/>
  <c r="L256" i="30" s="1"/>
  <c r="K254" i="30"/>
  <c r="L254" i="30" s="1"/>
  <c r="K252" i="30"/>
  <c r="L252" i="30" s="1"/>
  <c r="K250" i="30"/>
  <c r="L250" i="30" s="1"/>
  <c r="K245" i="30"/>
  <c r="L245" i="30" s="1"/>
  <c r="K237" i="30"/>
  <c r="L237" i="30" s="1"/>
  <c r="K229" i="30"/>
  <c r="L229" i="30" s="1"/>
  <c r="K220" i="30"/>
  <c r="L220" i="30" s="1"/>
  <c r="K216" i="30"/>
  <c r="L216" i="30" s="1"/>
  <c r="K248" i="30"/>
  <c r="L248" i="30" s="1"/>
  <c r="K240" i="30"/>
  <c r="L240" i="30" s="1"/>
  <c r="K232" i="30"/>
  <c r="L232" i="30" s="1"/>
  <c r="K224" i="30"/>
  <c r="L224" i="30" s="1"/>
  <c r="K246" i="30"/>
  <c r="L246" i="30" s="1"/>
  <c r="K238" i="30"/>
  <c r="L238" i="30" s="1"/>
  <c r="K230" i="30"/>
  <c r="L230" i="30" s="1"/>
  <c r="K255" i="30"/>
  <c r="L255" i="30" s="1"/>
  <c r="K253" i="30"/>
  <c r="L253" i="30" s="1"/>
  <c r="K251" i="30"/>
  <c r="L251" i="30" s="1"/>
  <c r="K249" i="30"/>
  <c r="L249" i="30" s="1"/>
  <c r="K241" i="30"/>
  <c r="L241" i="30" s="1"/>
  <c r="K233" i="30"/>
  <c r="L233" i="30" s="1"/>
  <c r="K225" i="30"/>
  <c r="L225" i="30" s="1"/>
  <c r="K222" i="30"/>
  <c r="L222" i="30" s="1"/>
  <c r="K218" i="30"/>
  <c r="L218" i="30" s="1"/>
  <c r="K244" i="30"/>
  <c r="L244" i="30" s="1"/>
  <c r="K236" i="30"/>
  <c r="L236" i="30" s="1"/>
  <c r="K228" i="30"/>
  <c r="L228" i="30" s="1"/>
  <c r="K217" i="30"/>
  <c r="L217" i="30" s="1"/>
  <c r="K185" i="30"/>
  <c r="L185" i="30" s="1"/>
  <c r="K184" i="30"/>
  <c r="L184" i="30" s="1"/>
  <c r="K183" i="30"/>
  <c r="L183" i="30" s="1"/>
  <c r="K182" i="30"/>
  <c r="L182" i="30" s="1"/>
  <c r="K181" i="30"/>
  <c r="L181" i="30" s="1"/>
  <c r="K180" i="30"/>
  <c r="L180" i="30" s="1"/>
  <c r="K179" i="30"/>
  <c r="L179" i="30" s="1"/>
  <c r="K178" i="30"/>
  <c r="L178" i="30" s="1"/>
  <c r="K177" i="30"/>
  <c r="L177" i="30" s="1"/>
  <c r="K176" i="30"/>
  <c r="L176" i="30" s="1"/>
  <c r="K175" i="30"/>
  <c r="L175" i="30" s="1"/>
  <c r="K174" i="30"/>
  <c r="L174" i="30" s="1"/>
  <c r="K173" i="30"/>
  <c r="L173" i="30" s="1"/>
  <c r="K172" i="30"/>
  <c r="L172" i="30" s="1"/>
  <c r="K171" i="30"/>
  <c r="L171" i="30" s="1"/>
  <c r="K170" i="30"/>
  <c r="L170" i="30" s="1"/>
  <c r="K169" i="30"/>
  <c r="L169" i="30" s="1"/>
  <c r="K168" i="30"/>
  <c r="L168" i="30" s="1"/>
  <c r="K167" i="30"/>
  <c r="L167" i="30" s="1"/>
  <c r="K166" i="30"/>
  <c r="L166" i="30" s="1"/>
  <c r="K239" i="30"/>
  <c r="L239" i="30" s="1"/>
  <c r="K227" i="30"/>
  <c r="L227" i="30" s="1"/>
  <c r="K221" i="30"/>
  <c r="L221" i="30" s="1"/>
  <c r="K243" i="30"/>
  <c r="L243" i="30" s="1"/>
  <c r="K231" i="30"/>
  <c r="L231" i="30" s="1"/>
  <c r="K247" i="30"/>
  <c r="L247" i="30" s="1"/>
  <c r="K235" i="30"/>
  <c r="L235" i="30" s="1"/>
  <c r="K223" i="30"/>
  <c r="L223" i="30" s="1"/>
  <c r="K164" i="30"/>
  <c r="L164" i="30" s="1"/>
  <c r="K162" i="30"/>
  <c r="L162" i="30" s="1"/>
  <c r="K160" i="30"/>
  <c r="L160" i="30" s="1"/>
  <c r="K156" i="30"/>
  <c r="L156" i="30" s="1"/>
  <c r="K152" i="30"/>
  <c r="L152" i="30" s="1"/>
  <c r="K157" i="30"/>
  <c r="L157" i="30" s="1"/>
  <c r="K153" i="30"/>
  <c r="L153" i="30" s="1"/>
  <c r="K149" i="30"/>
  <c r="L149" i="30" s="1"/>
  <c r="K145" i="30"/>
  <c r="L145" i="30" s="1"/>
  <c r="K219" i="30"/>
  <c r="L219" i="30" s="1"/>
  <c r="K165" i="30"/>
  <c r="L165" i="30" s="1"/>
  <c r="K163" i="30"/>
  <c r="L163" i="30" s="1"/>
  <c r="K161" i="30"/>
  <c r="L161" i="30" s="1"/>
  <c r="K158" i="30"/>
  <c r="L158" i="30" s="1"/>
  <c r="K154" i="30"/>
  <c r="L154" i="30" s="1"/>
  <c r="K150" i="30"/>
  <c r="L150" i="30" s="1"/>
  <c r="K146" i="30"/>
  <c r="L146" i="30" s="1"/>
  <c r="K142" i="30"/>
  <c r="L142" i="30" s="1"/>
  <c r="K138" i="30"/>
  <c r="L138" i="30" s="1"/>
  <c r="K151" i="30"/>
  <c r="L151" i="30" s="1"/>
  <c r="K131" i="30"/>
  <c r="L131" i="30" s="1"/>
  <c r="K123" i="30"/>
  <c r="L123" i="30" s="1"/>
  <c r="K115" i="30"/>
  <c r="L115" i="30" s="1"/>
  <c r="K107" i="30"/>
  <c r="L107" i="30" s="1"/>
  <c r="K99" i="30"/>
  <c r="L99" i="30" s="1"/>
  <c r="K91" i="30"/>
  <c r="L91" i="30" s="1"/>
  <c r="K82" i="30"/>
  <c r="L82" i="30" s="1"/>
  <c r="K78" i="30"/>
  <c r="L78" i="30" s="1"/>
  <c r="K155" i="30"/>
  <c r="L155" i="30" s="1"/>
  <c r="K147" i="30"/>
  <c r="L147" i="30" s="1"/>
  <c r="K140" i="30"/>
  <c r="L140" i="30" s="1"/>
  <c r="K134" i="30"/>
  <c r="L134" i="30" s="1"/>
  <c r="K126" i="30"/>
  <c r="L126" i="30" s="1"/>
  <c r="K118" i="30"/>
  <c r="L118" i="30" s="1"/>
  <c r="K110" i="30"/>
  <c r="L110" i="30" s="1"/>
  <c r="K102" i="30"/>
  <c r="L102" i="30" s="1"/>
  <c r="K94" i="30"/>
  <c r="L94" i="30" s="1"/>
  <c r="K86" i="30"/>
  <c r="L86" i="30" s="1"/>
  <c r="K129" i="30"/>
  <c r="L129" i="30" s="1"/>
  <c r="K121" i="30"/>
  <c r="L121" i="30" s="1"/>
  <c r="K113" i="30"/>
  <c r="L113" i="30" s="1"/>
  <c r="K105" i="30"/>
  <c r="L105" i="30" s="1"/>
  <c r="K97" i="30"/>
  <c r="L97" i="30" s="1"/>
  <c r="K89" i="30"/>
  <c r="L89" i="30" s="1"/>
  <c r="K83" i="30"/>
  <c r="L83" i="30" s="1"/>
  <c r="K79" i="30"/>
  <c r="L79" i="30" s="1"/>
  <c r="K144" i="30"/>
  <c r="L144" i="30" s="1"/>
  <c r="K132" i="30"/>
  <c r="L132" i="30" s="1"/>
  <c r="K124" i="30"/>
  <c r="L124" i="30" s="1"/>
  <c r="K116" i="30"/>
  <c r="L116" i="30" s="1"/>
  <c r="K108" i="30"/>
  <c r="L108" i="30" s="1"/>
  <c r="K100" i="30"/>
  <c r="L100" i="30" s="1"/>
  <c r="K92" i="30"/>
  <c r="L92" i="30" s="1"/>
  <c r="K139" i="30"/>
  <c r="L139" i="30" s="1"/>
  <c r="K137" i="30"/>
  <c r="L137" i="30" s="1"/>
  <c r="K135" i="30"/>
  <c r="L135" i="30" s="1"/>
  <c r="K127" i="30"/>
  <c r="L127" i="30" s="1"/>
  <c r="K119" i="30"/>
  <c r="L119" i="30" s="1"/>
  <c r="K111" i="30"/>
  <c r="L111" i="30" s="1"/>
  <c r="K103" i="30"/>
  <c r="L103" i="30" s="1"/>
  <c r="K95" i="30"/>
  <c r="L95" i="30" s="1"/>
  <c r="K87" i="30"/>
  <c r="L87" i="30" s="1"/>
  <c r="K159" i="30"/>
  <c r="L159" i="30" s="1"/>
  <c r="K130" i="30"/>
  <c r="L130" i="30" s="1"/>
  <c r="K122" i="30"/>
  <c r="L122" i="30" s="1"/>
  <c r="K114" i="30"/>
  <c r="L114" i="30" s="1"/>
  <c r="K106" i="30"/>
  <c r="L106" i="30" s="1"/>
  <c r="K98" i="30"/>
  <c r="L98" i="30" s="1"/>
  <c r="K90" i="30"/>
  <c r="L90" i="30" s="1"/>
  <c r="K143" i="30"/>
  <c r="L143" i="30" s="1"/>
  <c r="K141" i="30"/>
  <c r="L141" i="30" s="1"/>
  <c r="K133" i="30"/>
  <c r="L133" i="30" s="1"/>
  <c r="K125" i="30"/>
  <c r="L125" i="30" s="1"/>
  <c r="K117" i="30"/>
  <c r="L117" i="30" s="1"/>
  <c r="K109" i="30"/>
  <c r="L109" i="30" s="1"/>
  <c r="K101" i="30"/>
  <c r="L101" i="30" s="1"/>
  <c r="K148" i="30"/>
  <c r="L148" i="30" s="1"/>
  <c r="K136" i="30"/>
  <c r="L136" i="30" s="1"/>
  <c r="K128" i="30"/>
  <c r="L128" i="30" s="1"/>
  <c r="K120" i="30"/>
  <c r="L120" i="30" s="1"/>
  <c r="K112" i="30"/>
  <c r="L112" i="30" s="1"/>
  <c r="K104" i="30"/>
  <c r="L104" i="30" s="1"/>
  <c r="K84" i="30"/>
  <c r="L84" i="30" s="1"/>
  <c r="K81" i="30"/>
  <c r="L81" i="30" s="1"/>
  <c r="K76" i="30"/>
  <c r="L76" i="30" s="1"/>
  <c r="K74" i="30"/>
  <c r="L74" i="30" s="1"/>
  <c r="K72" i="30"/>
  <c r="L72" i="30" s="1"/>
  <c r="K70" i="30"/>
  <c r="L70" i="30" s="1"/>
  <c r="K68" i="30"/>
  <c r="L68" i="30" s="1"/>
  <c r="K66" i="30"/>
  <c r="L66" i="30" s="1"/>
  <c r="K62" i="30"/>
  <c r="L62" i="30" s="1"/>
  <c r="K58" i="30"/>
  <c r="L58" i="30" s="1"/>
  <c r="K80" i="30"/>
  <c r="L80" i="30" s="1"/>
  <c r="K63" i="30"/>
  <c r="L63" i="30" s="1"/>
  <c r="K59" i="30"/>
  <c r="L59" i="30" s="1"/>
  <c r="K88" i="30"/>
  <c r="L88" i="30" s="1"/>
  <c r="K77" i="30"/>
  <c r="L77" i="30" s="1"/>
  <c r="K75" i="30"/>
  <c r="L75" i="30" s="1"/>
  <c r="K73" i="30"/>
  <c r="L73" i="30" s="1"/>
  <c r="K85" i="30"/>
  <c r="L85" i="30" s="1"/>
  <c r="P28" i="30"/>
  <c r="L8" i="30"/>
  <c r="L11" i="30"/>
  <c r="P16" i="30"/>
  <c r="K18" i="30"/>
  <c r="L18" i="30" s="1"/>
  <c r="P20" i="30"/>
  <c r="K22" i="30"/>
  <c r="L22" i="30" s="1"/>
  <c r="P23" i="30"/>
  <c r="P50" i="30"/>
  <c r="K54" i="30"/>
  <c r="L54" i="30" s="1"/>
  <c r="P58" i="30"/>
  <c r="P26" i="30"/>
  <c r="K34" i="30"/>
  <c r="L34" i="30" s="1"/>
  <c r="K38" i="30"/>
  <c r="L38" i="30" s="1"/>
  <c r="P40" i="30"/>
  <c r="K42" i="30"/>
  <c r="L42" i="30" s="1"/>
  <c r="P44" i="30"/>
  <c r="F44" i="30"/>
  <c r="K51" i="30"/>
  <c r="L51" i="30" s="1"/>
  <c r="P25" i="30"/>
  <c r="F25" i="30"/>
  <c r="P27" i="30"/>
  <c r="F27" i="30"/>
  <c r="K28" i="30"/>
  <c r="L28" i="30" s="1"/>
  <c r="P30" i="30"/>
  <c r="F30" i="30"/>
  <c r="K32" i="30"/>
  <c r="L32" i="30" s="1"/>
  <c r="P34" i="30"/>
  <c r="K36" i="30"/>
  <c r="L36" i="30" s="1"/>
  <c r="P38" i="30"/>
  <c r="K40" i="30"/>
  <c r="L40" i="30" s="1"/>
  <c r="P42" i="30"/>
  <c r="K44" i="30"/>
  <c r="L44" i="30" s="1"/>
  <c r="P46" i="30"/>
  <c r="K48" i="30"/>
  <c r="L48" i="30" s="1"/>
  <c r="P51" i="30"/>
  <c r="F51" i="30"/>
  <c r="K55" i="30"/>
  <c r="L55" i="30" s="1"/>
  <c r="K64" i="30"/>
  <c r="L64" i="30" s="1"/>
  <c r="F15" i="30"/>
  <c r="K17" i="30"/>
  <c r="L17" i="30" s="1"/>
  <c r="F18" i="30"/>
  <c r="P19" i="30"/>
  <c r="K21" i="30"/>
  <c r="L21" i="30" s="1"/>
  <c r="F22" i="30"/>
  <c r="K24" i="30"/>
  <c r="L24" i="30" s="1"/>
  <c r="K26" i="30"/>
  <c r="L26" i="30" s="1"/>
  <c r="P52" i="30"/>
  <c r="F52" i="30"/>
  <c r="K56" i="30"/>
  <c r="L56" i="30" s="1"/>
  <c r="K60" i="30"/>
  <c r="L60" i="30" s="1"/>
  <c r="K61" i="30"/>
  <c r="L61" i="30" s="1"/>
  <c r="K65" i="30"/>
  <c r="L65" i="30" s="1"/>
  <c r="K96" i="30"/>
  <c r="L96" i="30" s="1"/>
  <c r="L5" i="30"/>
  <c r="K29" i="30"/>
  <c r="L29" i="30" s="1"/>
  <c r="P31" i="30"/>
  <c r="K33" i="30"/>
  <c r="L33" i="30" s="1"/>
  <c r="P35" i="30"/>
  <c r="F35" i="30"/>
  <c r="K37" i="30"/>
  <c r="L37" i="30" s="1"/>
  <c r="P39" i="30"/>
  <c r="K41" i="30"/>
  <c r="L41" i="30" s="1"/>
  <c r="P43" i="30"/>
  <c r="F43" i="30"/>
  <c r="K45" i="30"/>
  <c r="L45" i="30" s="1"/>
  <c r="P47" i="30"/>
  <c r="F47" i="30"/>
  <c r="K49" i="30"/>
  <c r="L49" i="30" s="1"/>
  <c r="P53" i="30"/>
  <c r="K57" i="30"/>
  <c r="L57" i="30" s="1"/>
  <c r="N248" i="30"/>
  <c r="O248" i="30" s="1"/>
  <c r="N240" i="30"/>
  <c r="O240" i="30" s="1"/>
  <c r="N232" i="30"/>
  <c r="O232" i="30" s="1"/>
  <c r="N224" i="30"/>
  <c r="O224" i="30" s="1"/>
  <c r="N221" i="30"/>
  <c r="O221" i="30" s="1"/>
  <c r="N217" i="30"/>
  <c r="O217" i="30" s="1"/>
  <c r="N243" i="30"/>
  <c r="O243" i="30" s="1"/>
  <c r="N235" i="30"/>
  <c r="O235" i="30" s="1"/>
  <c r="N227" i="30"/>
  <c r="O227" i="30" s="1"/>
  <c r="N246" i="30"/>
  <c r="O246" i="30" s="1"/>
  <c r="N238" i="30"/>
  <c r="O238" i="30" s="1"/>
  <c r="N230" i="30"/>
  <c r="O230" i="30" s="1"/>
  <c r="N222" i="30"/>
  <c r="O222" i="30" s="1"/>
  <c r="N218" i="30"/>
  <c r="O218" i="30" s="1"/>
  <c r="N255" i="30"/>
  <c r="O255" i="30" s="1"/>
  <c r="N253" i="30"/>
  <c r="O253" i="30" s="1"/>
  <c r="N251" i="30"/>
  <c r="O251" i="30" s="1"/>
  <c r="N249" i="30"/>
  <c r="O249" i="30" s="1"/>
  <c r="N257" i="30"/>
  <c r="O257" i="30" s="1"/>
  <c r="N244" i="30"/>
  <c r="O244" i="30" s="1"/>
  <c r="N236" i="30"/>
  <c r="O236" i="30" s="1"/>
  <c r="N228" i="30"/>
  <c r="O228" i="30" s="1"/>
  <c r="N219" i="30"/>
  <c r="O219" i="30" s="1"/>
  <c r="N247" i="30"/>
  <c r="O247" i="30" s="1"/>
  <c r="N239" i="30"/>
  <c r="O239" i="30" s="1"/>
  <c r="N231" i="30"/>
  <c r="O231" i="30" s="1"/>
  <c r="N223" i="30"/>
  <c r="N215" i="30"/>
  <c r="O215" i="30" s="1"/>
  <c r="N214" i="30"/>
  <c r="O214" i="30" s="1"/>
  <c r="N213" i="30"/>
  <c r="O213" i="30" s="1"/>
  <c r="N212" i="30"/>
  <c r="O212" i="30" s="1"/>
  <c r="N211" i="30"/>
  <c r="O211" i="30" s="1"/>
  <c r="N210" i="30"/>
  <c r="O210" i="30" s="1"/>
  <c r="N209" i="30"/>
  <c r="O209" i="30" s="1"/>
  <c r="N208" i="30"/>
  <c r="N207" i="30"/>
  <c r="O207" i="30" s="1"/>
  <c r="N206" i="30"/>
  <c r="O206" i="30" s="1"/>
  <c r="N205" i="30"/>
  <c r="O205" i="30" s="1"/>
  <c r="N204" i="30"/>
  <c r="O204" i="30" s="1"/>
  <c r="N203" i="30"/>
  <c r="O203" i="30" s="1"/>
  <c r="N202" i="30"/>
  <c r="O202" i="30" s="1"/>
  <c r="N242" i="30"/>
  <c r="O242" i="30" s="1"/>
  <c r="N216" i="30"/>
  <c r="O216" i="30" s="1"/>
  <c r="N201" i="30"/>
  <c r="O201" i="30" s="1"/>
  <c r="N193" i="30"/>
  <c r="O193" i="30" s="1"/>
  <c r="N226" i="30"/>
  <c r="O226" i="30" s="1"/>
  <c r="N225" i="30"/>
  <c r="O225" i="30" s="1"/>
  <c r="N220" i="30"/>
  <c r="O220" i="30" s="1"/>
  <c r="N254" i="30"/>
  <c r="O254" i="30" s="1"/>
  <c r="N237" i="30"/>
  <c r="O237" i="30" s="1"/>
  <c r="N199" i="30"/>
  <c r="O199" i="30" s="1"/>
  <c r="N191" i="30"/>
  <c r="O191" i="30" s="1"/>
  <c r="N194" i="30"/>
  <c r="O194" i="30" s="1"/>
  <c r="N250" i="30"/>
  <c r="O250" i="30" s="1"/>
  <c r="N241" i="30"/>
  <c r="O241" i="30" s="1"/>
  <c r="N197" i="30"/>
  <c r="O197" i="30" s="1"/>
  <c r="N189" i="30"/>
  <c r="O189" i="30" s="1"/>
  <c r="N256" i="30"/>
  <c r="O256" i="30" s="1"/>
  <c r="N245" i="30"/>
  <c r="O245" i="30" s="1"/>
  <c r="N234" i="30"/>
  <c r="O234" i="30" s="1"/>
  <c r="N233" i="30"/>
  <c r="O233" i="30" s="1"/>
  <c r="N198" i="30"/>
  <c r="O198" i="30" s="1"/>
  <c r="N190" i="30"/>
  <c r="O190" i="30" s="1"/>
  <c r="N176" i="30"/>
  <c r="O176" i="30" s="1"/>
  <c r="N168" i="30"/>
  <c r="O168" i="30" s="1"/>
  <c r="N229" i="30"/>
  <c r="O229" i="30" s="1"/>
  <c r="N182" i="30"/>
  <c r="O182" i="30" s="1"/>
  <c r="N173" i="30"/>
  <c r="O173" i="30" s="1"/>
  <c r="N165" i="30"/>
  <c r="O165" i="30" s="1"/>
  <c r="N163" i="30"/>
  <c r="O163" i="30" s="1"/>
  <c r="N161" i="30"/>
  <c r="O161" i="30" s="1"/>
  <c r="N158" i="30"/>
  <c r="O158" i="30" s="1"/>
  <c r="N154" i="30"/>
  <c r="O154" i="30" s="1"/>
  <c r="N150" i="30"/>
  <c r="O150" i="30" s="1"/>
  <c r="N146" i="30"/>
  <c r="O146" i="30" s="1"/>
  <c r="N142" i="30"/>
  <c r="O142" i="30" s="1"/>
  <c r="N138" i="30"/>
  <c r="O138" i="30" s="1"/>
  <c r="N186" i="30"/>
  <c r="O186" i="30" s="1"/>
  <c r="N178" i="30"/>
  <c r="O178" i="30" s="1"/>
  <c r="N170" i="30"/>
  <c r="O170" i="30" s="1"/>
  <c r="N200" i="30"/>
  <c r="O200" i="30" s="1"/>
  <c r="N196" i="30"/>
  <c r="O196" i="30" s="1"/>
  <c r="N192" i="30"/>
  <c r="O192" i="30" s="1"/>
  <c r="N188" i="30"/>
  <c r="O188" i="30" s="1"/>
  <c r="N185" i="30"/>
  <c r="O185" i="30" s="1"/>
  <c r="N181" i="30"/>
  <c r="O181" i="30" s="1"/>
  <c r="N175" i="30"/>
  <c r="O175" i="30" s="1"/>
  <c r="N167" i="30"/>
  <c r="O167" i="30" s="1"/>
  <c r="N159" i="30"/>
  <c r="O159" i="30" s="1"/>
  <c r="N155" i="30"/>
  <c r="O155" i="30" s="1"/>
  <c r="N151" i="30"/>
  <c r="O151" i="30" s="1"/>
  <c r="N147" i="30"/>
  <c r="O147" i="30" s="1"/>
  <c r="N143" i="30"/>
  <c r="O143" i="30" s="1"/>
  <c r="N139" i="30"/>
  <c r="O139" i="30" s="1"/>
  <c r="N172" i="30"/>
  <c r="O172" i="30" s="1"/>
  <c r="N252" i="30"/>
  <c r="O252" i="30" s="1"/>
  <c r="N184" i="30"/>
  <c r="O184" i="30" s="1"/>
  <c r="N180" i="30"/>
  <c r="O180" i="30" s="1"/>
  <c r="N177" i="30"/>
  <c r="N169" i="30"/>
  <c r="O169" i="30" s="1"/>
  <c r="N164" i="30"/>
  <c r="O164" i="30" s="1"/>
  <c r="N162" i="30"/>
  <c r="O162" i="30" s="1"/>
  <c r="N160" i="30"/>
  <c r="O160" i="30" s="1"/>
  <c r="N156" i="30"/>
  <c r="N195" i="30"/>
  <c r="O195" i="30" s="1"/>
  <c r="N174" i="30"/>
  <c r="O174" i="30" s="1"/>
  <c r="N187" i="30"/>
  <c r="O187" i="30" s="1"/>
  <c r="N183" i="30"/>
  <c r="O183" i="30" s="1"/>
  <c r="N179" i="30"/>
  <c r="O179" i="30" s="1"/>
  <c r="N171" i="30"/>
  <c r="O171" i="30" s="1"/>
  <c r="N157" i="30"/>
  <c r="O157" i="30" s="1"/>
  <c r="N153" i="30"/>
  <c r="O153" i="30" s="1"/>
  <c r="N149" i="30"/>
  <c r="O149" i="30" s="1"/>
  <c r="N144" i="30"/>
  <c r="O144" i="30" s="1"/>
  <c r="N132" i="30"/>
  <c r="O132" i="30" s="1"/>
  <c r="N124" i="30"/>
  <c r="O124" i="30" s="1"/>
  <c r="N116" i="30"/>
  <c r="O116" i="30" s="1"/>
  <c r="N108" i="30"/>
  <c r="O108" i="30" s="1"/>
  <c r="N100" i="30"/>
  <c r="O100" i="30" s="1"/>
  <c r="N92" i="30"/>
  <c r="O92" i="30" s="1"/>
  <c r="N135" i="30"/>
  <c r="O135" i="30" s="1"/>
  <c r="N127" i="30"/>
  <c r="O127" i="30" s="1"/>
  <c r="N119" i="30"/>
  <c r="O119" i="30" s="1"/>
  <c r="N111" i="30"/>
  <c r="O111" i="30" s="1"/>
  <c r="N103" i="30"/>
  <c r="O103" i="30" s="1"/>
  <c r="N95" i="30"/>
  <c r="O95" i="30" s="1"/>
  <c r="N87" i="30"/>
  <c r="O87" i="30" s="1"/>
  <c r="N84" i="30"/>
  <c r="O84" i="30" s="1"/>
  <c r="N80" i="30"/>
  <c r="O80" i="30" s="1"/>
  <c r="N137" i="30"/>
  <c r="O137" i="30" s="1"/>
  <c r="N130" i="30"/>
  <c r="O130" i="30" s="1"/>
  <c r="N122" i="30"/>
  <c r="O122" i="30" s="1"/>
  <c r="N114" i="30"/>
  <c r="O114" i="30" s="1"/>
  <c r="N106" i="30"/>
  <c r="O106" i="30" s="1"/>
  <c r="N98" i="30"/>
  <c r="O98" i="30" s="1"/>
  <c r="N90" i="30"/>
  <c r="O90" i="30" s="1"/>
  <c r="N133" i="30"/>
  <c r="O133" i="30" s="1"/>
  <c r="N125" i="30"/>
  <c r="O125" i="30" s="1"/>
  <c r="N117" i="30"/>
  <c r="O117" i="30" s="1"/>
  <c r="N109" i="30"/>
  <c r="O109" i="30" s="1"/>
  <c r="N101" i="30"/>
  <c r="O101" i="30" s="1"/>
  <c r="N93" i="30"/>
  <c r="O93" i="30" s="1"/>
  <c r="N85" i="30"/>
  <c r="O85" i="30" s="1"/>
  <c r="N141" i="30"/>
  <c r="O141" i="30" s="1"/>
  <c r="N136" i="30"/>
  <c r="O136" i="30" s="1"/>
  <c r="N128" i="30"/>
  <c r="O128" i="30" s="1"/>
  <c r="N120" i="30"/>
  <c r="O120" i="30" s="1"/>
  <c r="N112" i="30"/>
  <c r="O112" i="30" s="1"/>
  <c r="N104" i="30"/>
  <c r="O104" i="30" s="1"/>
  <c r="N96" i="30"/>
  <c r="O96" i="30" s="1"/>
  <c r="N88" i="30"/>
  <c r="O88" i="30" s="1"/>
  <c r="N152" i="30"/>
  <c r="O152" i="30" s="1"/>
  <c r="N148" i="30"/>
  <c r="O148" i="30" s="1"/>
  <c r="N131" i="30"/>
  <c r="O131" i="30" s="1"/>
  <c r="N123" i="30"/>
  <c r="O123" i="30" s="1"/>
  <c r="N115" i="30"/>
  <c r="O115" i="30" s="1"/>
  <c r="N107" i="30"/>
  <c r="O107" i="30" s="1"/>
  <c r="N99" i="30"/>
  <c r="O99" i="30" s="1"/>
  <c r="N91" i="30"/>
  <c r="O91" i="30" s="1"/>
  <c r="N82" i="30"/>
  <c r="O82" i="30" s="1"/>
  <c r="N166" i="30"/>
  <c r="O166" i="30" s="1"/>
  <c r="N140" i="30"/>
  <c r="O140" i="30" s="1"/>
  <c r="N134" i="30"/>
  <c r="O134" i="30" s="1"/>
  <c r="N126" i="30"/>
  <c r="O126" i="30" s="1"/>
  <c r="N118" i="30"/>
  <c r="O118" i="30" s="1"/>
  <c r="N110" i="30"/>
  <c r="O110" i="30" s="1"/>
  <c r="N102" i="30"/>
  <c r="O102" i="30" s="1"/>
  <c r="N145" i="30"/>
  <c r="O145" i="30" s="1"/>
  <c r="N129" i="30"/>
  <c r="O129" i="30" s="1"/>
  <c r="N121" i="30"/>
  <c r="O121" i="30" s="1"/>
  <c r="N113" i="30"/>
  <c r="O113" i="30" s="1"/>
  <c r="N105" i="30"/>
  <c r="O105" i="30" s="1"/>
  <c r="N97" i="30"/>
  <c r="O97" i="30" s="1"/>
  <c r="N63" i="30"/>
  <c r="O63" i="30" s="1"/>
  <c r="N59" i="30"/>
  <c r="O59" i="30" s="1"/>
  <c r="N89" i="30"/>
  <c r="O89" i="30" s="1"/>
  <c r="N83" i="30"/>
  <c r="O83" i="30" s="1"/>
  <c r="N77" i="30"/>
  <c r="O77" i="30" s="1"/>
  <c r="N75" i="30"/>
  <c r="O75" i="30" s="1"/>
  <c r="N73" i="30"/>
  <c r="O73" i="30" s="1"/>
  <c r="N71" i="30"/>
  <c r="O71" i="30" s="1"/>
  <c r="N69" i="30"/>
  <c r="O69" i="30" s="1"/>
  <c r="N67" i="30"/>
  <c r="O67" i="30" s="1"/>
  <c r="N64" i="30"/>
  <c r="O64" i="30" s="1"/>
  <c r="N60" i="30"/>
  <c r="O60" i="30" s="1"/>
  <c r="N79" i="30"/>
  <c r="O79" i="30" s="1"/>
  <c r="N56" i="30"/>
  <c r="O56" i="30" s="1"/>
  <c r="N55" i="30"/>
  <c r="O55" i="30" s="1"/>
  <c r="N54" i="30"/>
  <c r="O54" i="30" s="1"/>
  <c r="N53" i="30"/>
  <c r="O53" i="30" s="1"/>
  <c r="N52" i="30"/>
  <c r="O52" i="30" s="1"/>
  <c r="N51" i="30"/>
  <c r="O51" i="30" s="1"/>
  <c r="N50" i="30"/>
  <c r="O50" i="30" s="1"/>
  <c r="N49" i="30"/>
  <c r="O49" i="30" s="1"/>
  <c r="N48" i="30"/>
  <c r="O48" i="30" s="1"/>
  <c r="N47" i="30"/>
  <c r="O47" i="30" s="1"/>
  <c r="N46" i="30"/>
  <c r="O46" i="30" s="1"/>
  <c r="N45" i="30"/>
  <c r="O45" i="30" s="1"/>
  <c r="N44" i="30"/>
  <c r="O44" i="30" s="1"/>
  <c r="N43" i="30"/>
  <c r="O43" i="30" s="1"/>
  <c r="N42" i="30"/>
  <c r="O42" i="30" s="1"/>
  <c r="N41" i="30"/>
  <c r="O41" i="30" s="1"/>
  <c r="N40" i="30"/>
  <c r="O40" i="30" s="1"/>
  <c r="N39" i="30"/>
  <c r="O39" i="30" s="1"/>
  <c r="N38" i="30"/>
  <c r="O38" i="30" s="1"/>
  <c r="N37" i="30"/>
  <c r="O37" i="30" s="1"/>
  <c r="N36" i="30"/>
  <c r="O36" i="30" s="1"/>
  <c r="N35" i="30"/>
  <c r="O35" i="30" s="1"/>
  <c r="N34" i="30"/>
  <c r="O34" i="30" s="1"/>
  <c r="N33" i="30"/>
  <c r="O33" i="30" s="1"/>
  <c r="N32" i="30"/>
  <c r="O32" i="30" s="1"/>
  <c r="N31" i="30"/>
  <c r="O31" i="30" s="1"/>
  <c r="N30" i="30"/>
  <c r="O30" i="30" s="1"/>
  <c r="N29" i="30"/>
  <c r="O29" i="30" s="1"/>
  <c r="N28" i="30"/>
  <c r="O28" i="30" s="1"/>
  <c r="N27" i="30"/>
  <c r="O27" i="30" s="1"/>
  <c r="N26" i="30"/>
  <c r="O26" i="30" s="1"/>
  <c r="N25" i="30"/>
  <c r="O25" i="30" s="1"/>
  <c r="N24" i="30"/>
  <c r="O24" i="30" s="1"/>
  <c r="N23" i="30"/>
  <c r="O23" i="30" s="1"/>
  <c r="N22" i="30"/>
  <c r="O22" i="30" s="1"/>
  <c r="N21" i="30"/>
  <c r="O21" i="30" s="1"/>
  <c r="N20" i="30"/>
  <c r="O20" i="30" s="1"/>
  <c r="N19" i="30"/>
  <c r="O19" i="30" s="1"/>
  <c r="N18" i="30"/>
  <c r="O18" i="30" s="1"/>
  <c r="N17" i="30"/>
  <c r="O17" i="30" s="1"/>
  <c r="N16" i="30"/>
  <c r="O16" i="30" s="1"/>
  <c r="N15" i="30"/>
  <c r="O15" i="30" s="1"/>
  <c r="N65" i="30"/>
  <c r="O65" i="30" s="1"/>
  <c r="N61" i="30"/>
  <c r="O61" i="30" s="1"/>
  <c r="N57" i="30"/>
  <c r="O57" i="30" s="1"/>
  <c r="N86" i="30"/>
  <c r="O86" i="30" s="1"/>
  <c r="N94" i="30"/>
  <c r="O94" i="30" s="1"/>
  <c r="N81" i="30"/>
  <c r="O81" i="30" s="1"/>
  <c r="N76" i="30"/>
  <c r="O76" i="30" s="1"/>
  <c r="N74" i="30"/>
  <c r="O74" i="30" s="1"/>
  <c r="N72" i="30"/>
  <c r="O72" i="30" s="1"/>
  <c r="N70" i="30"/>
  <c r="O70" i="30" s="1"/>
  <c r="N68" i="30"/>
  <c r="O68" i="30" s="1"/>
  <c r="N66" i="30"/>
  <c r="O66" i="30" s="1"/>
  <c r="P8" i="30"/>
  <c r="K16" i="30"/>
  <c r="L16" i="30" s="1"/>
  <c r="P18" i="30"/>
  <c r="K20" i="30"/>
  <c r="L20" i="30" s="1"/>
  <c r="F21" i="30"/>
  <c r="P22" i="30"/>
  <c r="K50" i="30"/>
  <c r="L50" i="30" s="1"/>
  <c r="P54" i="30"/>
  <c r="F54" i="30"/>
  <c r="K67" i="30"/>
  <c r="L67" i="30" s="1"/>
  <c r="K69" i="30"/>
  <c r="L69" i="30" s="1"/>
  <c r="K71" i="30"/>
  <c r="L71" i="30" s="1"/>
  <c r="K93" i="30"/>
  <c r="L93" i="30" s="1"/>
  <c r="P65" i="30"/>
  <c r="F65" i="30"/>
  <c r="L15" i="30"/>
  <c r="K19" i="30"/>
  <c r="L19" i="30" s="1"/>
  <c r="F20" i="30"/>
  <c r="K23" i="30"/>
  <c r="L23" i="30" s="1"/>
  <c r="K25" i="30"/>
  <c r="L25" i="30" s="1"/>
  <c r="K27" i="30"/>
  <c r="L27" i="30" s="1"/>
  <c r="K52" i="30"/>
  <c r="L52" i="30" s="1"/>
  <c r="P56" i="30"/>
  <c r="N58" i="30"/>
  <c r="O58" i="30" s="1"/>
  <c r="P61" i="30"/>
  <c r="F61" i="30"/>
  <c r="P24" i="30"/>
  <c r="K30" i="30"/>
  <c r="L30" i="30" s="1"/>
  <c r="P32" i="30"/>
  <c r="P36" i="30"/>
  <c r="F36" i="30"/>
  <c r="K46" i="30"/>
  <c r="L46" i="30" s="1"/>
  <c r="P48" i="30"/>
  <c r="F48" i="30"/>
  <c r="P55" i="30"/>
  <c r="P29" i="30"/>
  <c r="K31" i="30"/>
  <c r="L31" i="30" s="1"/>
  <c r="P33" i="30"/>
  <c r="K35" i="30"/>
  <c r="L35" i="30" s="1"/>
  <c r="P37" i="30"/>
  <c r="K39" i="30"/>
  <c r="L39" i="30" s="1"/>
  <c r="P41" i="30"/>
  <c r="F41" i="30"/>
  <c r="K43" i="30"/>
  <c r="L43" i="30" s="1"/>
  <c r="P45" i="30"/>
  <c r="K47" i="30"/>
  <c r="L47" i="30" s="1"/>
  <c r="P49" i="30"/>
  <c r="K53" i="30"/>
  <c r="L53" i="30" s="1"/>
  <c r="P57" i="30"/>
  <c r="P62" i="30"/>
  <c r="N78" i="30"/>
  <c r="O78" i="30" s="1"/>
  <c r="P68" i="30"/>
  <c r="P70" i="30"/>
  <c r="P72" i="30"/>
  <c r="P74" i="30"/>
  <c r="P76" i="30"/>
  <c r="P91" i="30"/>
  <c r="F91" i="30"/>
  <c r="F72" i="30"/>
  <c r="F78" i="30"/>
  <c r="P81" i="30"/>
  <c r="P60" i="30"/>
  <c r="P64" i="30"/>
  <c r="P82" i="30"/>
  <c r="P85" i="30"/>
  <c r="P94" i="30"/>
  <c r="P67" i="30"/>
  <c r="P69" i="30"/>
  <c r="P71" i="30"/>
  <c r="P73" i="30"/>
  <c r="P75" i="30"/>
  <c r="P77" i="30"/>
  <c r="P86" i="30"/>
  <c r="P59" i="30"/>
  <c r="P63" i="30"/>
  <c r="F67" i="30"/>
  <c r="F73" i="30"/>
  <c r="P142" i="30"/>
  <c r="O156" i="30"/>
  <c r="P140" i="30"/>
  <c r="P88" i="30"/>
  <c r="P96" i="30"/>
  <c r="P104" i="30"/>
  <c r="F110" i="30"/>
  <c r="O177" i="30"/>
  <c r="P93" i="30"/>
  <c r="P101" i="30"/>
  <c r="F115" i="30"/>
  <c r="F123" i="30"/>
  <c r="P143" i="30"/>
  <c r="P148" i="30"/>
  <c r="P156" i="30"/>
  <c r="P90" i="30"/>
  <c r="P98" i="30"/>
  <c r="P149" i="30"/>
  <c r="P152" i="30"/>
  <c r="P153" i="30"/>
  <c r="P80" i="30"/>
  <c r="P84" i="30"/>
  <c r="F93" i="30"/>
  <c r="F101" i="30"/>
  <c r="F109" i="30"/>
  <c r="F117" i="30"/>
  <c r="F125" i="30"/>
  <c r="F133" i="30"/>
  <c r="P139" i="30"/>
  <c r="P141" i="30"/>
  <c r="P146" i="30"/>
  <c r="P92" i="30"/>
  <c r="F98" i="30"/>
  <c r="P100" i="30"/>
  <c r="F122" i="30"/>
  <c r="F130" i="30"/>
  <c r="P160" i="30"/>
  <c r="P79" i="30"/>
  <c r="F80" i="30"/>
  <c r="P83" i="30"/>
  <c r="F87" i="30"/>
  <c r="P89" i="30"/>
  <c r="P97" i="30"/>
  <c r="F103" i="30"/>
  <c r="F119" i="30"/>
  <c r="F127" i="30"/>
  <c r="P137" i="30"/>
  <c r="P144" i="30"/>
  <c r="P150" i="30"/>
  <c r="P154" i="30"/>
  <c r="P158" i="30"/>
  <c r="P189" i="30"/>
  <c r="P197" i="30"/>
  <c r="P157" i="30"/>
  <c r="P162" i="30"/>
  <c r="P164" i="30"/>
  <c r="P201" i="30"/>
  <c r="P169" i="30"/>
  <c r="P177" i="30"/>
  <c r="P180" i="30"/>
  <c r="P184" i="30"/>
  <c r="F164" i="30"/>
  <c r="P172" i="30"/>
  <c r="F174" i="30"/>
  <c r="P195" i="30"/>
  <c r="P204" i="30"/>
  <c r="P167" i="30"/>
  <c r="P175" i="30"/>
  <c r="F180" i="30"/>
  <c r="P181" i="30"/>
  <c r="F184" i="30"/>
  <c r="P185" i="30"/>
  <c r="P192" i="30"/>
  <c r="F192" i="30"/>
  <c r="P200" i="30"/>
  <c r="F200" i="30"/>
  <c r="P206" i="30"/>
  <c r="P161" i="30"/>
  <c r="P163" i="30"/>
  <c r="P165" i="30"/>
  <c r="P170" i="30"/>
  <c r="P178" i="30"/>
  <c r="P191" i="30"/>
  <c r="P193" i="30"/>
  <c r="P199" i="30"/>
  <c r="O208" i="30"/>
  <c r="O223" i="30"/>
  <c r="P223" i="30"/>
  <c r="P173" i="30"/>
  <c r="P220" i="30"/>
  <c r="P209" i="30"/>
  <c r="P216" i="30"/>
  <c r="F216" i="30"/>
  <c r="P230" i="30"/>
  <c r="P246" i="30"/>
  <c r="P242" i="30"/>
  <c r="P207" i="30"/>
  <c r="P226" i="30"/>
  <c r="P202" i="30"/>
  <c r="P210" i="30"/>
  <c r="P214" i="30"/>
  <c r="P222" i="30"/>
  <c r="P238" i="30"/>
  <c r="F189" i="30"/>
  <c r="F197" i="30"/>
  <c r="P205" i="30"/>
  <c r="F214" i="30"/>
  <c r="P218" i="30"/>
  <c r="F218" i="30"/>
  <c r="P208" i="30"/>
  <c r="P234" i="30"/>
  <c r="P203" i="30"/>
  <c r="F211" i="30"/>
  <c r="F14" i="30" l="1"/>
  <c r="Q56" i="26"/>
  <c r="U55" i="26"/>
  <c r="S55" i="26"/>
  <c r="R55" i="26"/>
  <c r="T54" i="26"/>
  <c r="V54" i="26"/>
  <c r="V53" i="25"/>
  <c r="T53" i="25"/>
  <c r="R54" i="25"/>
  <c r="Q55" i="25"/>
  <c r="U54" i="25"/>
  <c r="S54" i="25"/>
  <c r="V54" i="10"/>
  <c r="T54" i="10"/>
  <c r="Q56" i="10"/>
  <c r="U55" i="10"/>
  <c r="R55" i="10"/>
  <c r="F9" i="30"/>
  <c r="S9" i="30" s="1"/>
  <c r="L9" i="30"/>
  <c r="R9" i="30" s="1"/>
  <c r="F13" i="30"/>
  <c r="S13" i="30" s="1"/>
  <c r="L13" i="30"/>
  <c r="R13" i="30" s="1"/>
  <c r="F10" i="30"/>
  <c r="S10" i="30" s="1"/>
  <c r="L10" i="30"/>
  <c r="R10" i="30" s="1"/>
  <c r="F12" i="30"/>
  <c r="S12" i="30" s="1"/>
  <c r="L12" i="30"/>
  <c r="R12" i="30" s="1"/>
  <c r="R11" i="30"/>
  <c r="S11" i="30"/>
  <c r="S257" i="30"/>
  <c r="S253" i="30"/>
  <c r="S249" i="30"/>
  <c r="S245" i="30"/>
  <c r="S241" i="30"/>
  <c r="S237" i="30"/>
  <c r="S233" i="30"/>
  <c r="S229" i="30"/>
  <c r="S225" i="30"/>
  <c r="S221" i="30"/>
  <c r="S217" i="30"/>
  <c r="S213" i="30"/>
  <c r="S209" i="30"/>
  <c r="S205" i="30"/>
  <c r="S201" i="30"/>
  <c r="S197" i="30"/>
  <c r="S193" i="30"/>
  <c r="S189" i="30"/>
  <c r="S185" i="30"/>
  <c r="S181" i="30"/>
  <c r="S177" i="30"/>
  <c r="S173" i="30"/>
  <c r="S169" i="30"/>
  <c r="S165" i="30"/>
  <c r="S161" i="30"/>
  <c r="S157" i="30"/>
  <c r="S153" i="30"/>
  <c r="S149" i="30"/>
  <c r="S145" i="30"/>
  <c r="S141" i="30"/>
  <c r="S137" i="30"/>
  <c r="S133" i="30"/>
  <c r="S129" i="30"/>
  <c r="S125" i="30"/>
  <c r="S121" i="30"/>
  <c r="S117" i="30"/>
  <c r="S113" i="30"/>
  <c r="S109" i="30"/>
  <c r="S105" i="30"/>
  <c r="S101" i="30"/>
  <c r="S97" i="30"/>
  <c r="S93" i="30"/>
  <c r="S89" i="30"/>
  <c r="S85" i="30"/>
  <c r="S81" i="30"/>
  <c r="S77" i="30"/>
  <c r="S73" i="30"/>
  <c r="S69" i="30"/>
  <c r="S65" i="30"/>
  <c r="S61" i="30"/>
  <c r="S57" i="30"/>
  <c r="S53" i="30"/>
  <c r="S49" i="30"/>
  <c r="S45" i="30"/>
  <c r="S41" i="30"/>
  <c r="S37" i="30"/>
  <c r="S33" i="30"/>
  <c r="S29" i="30"/>
  <c r="S25" i="30"/>
  <c r="S21" i="30"/>
  <c r="S17" i="30"/>
  <c r="R20" i="30"/>
  <c r="S155" i="30"/>
  <c r="S143" i="30"/>
  <c r="S131" i="30"/>
  <c r="S115" i="30"/>
  <c r="S99" i="30"/>
  <c r="S87" i="30"/>
  <c r="S75" i="30"/>
  <c r="S51" i="30"/>
  <c r="S35" i="30"/>
  <c r="S15" i="30"/>
  <c r="R19" i="30"/>
  <c r="S250" i="30"/>
  <c r="R257" i="30"/>
  <c r="R253" i="30"/>
  <c r="R249" i="30"/>
  <c r="R245" i="30"/>
  <c r="R241" i="30"/>
  <c r="R237" i="30"/>
  <c r="R233" i="30"/>
  <c r="R229" i="30"/>
  <c r="R225" i="30"/>
  <c r="R221" i="30"/>
  <c r="R217" i="30"/>
  <c r="R213" i="30"/>
  <c r="R209" i="30"/>
  <c r="R205" i="30"/>
  <c r="R201" i="30"/>
  <c r="R197" i="30"/>
  <c r="R193" i="30"/>
  <c r="R189" i="30"/>
  <c r="R185" i="30"/>
  <c r="R181" i="30"/>
  <c r="R177" i="30"/>
  <c r="R173" i="30"/>
  <c r="R169" i="30"/>
  <c r="R165" i="30"/>
  <c r="R161" i="30"/>
  <c r="R157" i="30"/>
  <c r="R153" i="30"/>
  <c r="R149" i="30"/>
  <c r="R145" i="30"/>
  <c r="R141" i="30"/>
  <c r="R137" i="30"/>
  <c r="R133" i="30"/>
  <c r="R129" i="30"/>
  <c r="R125" i="30"/>
  <c r="R121" i="30"/>
  <c r="R117" i="30"/>
  <c r="R113" i="30"/>
  <c r="R109" i="30"/>
  <c r="R105" i="30"/>
  <c r="R101" i="30"/>
  <c r="R97" i="30"/>
  <c r="R93" i="30"/>
  <c r="R89" i="30"/>
  <c r="R85" i="30"/>
  <c r="R81" i="30"/>
  <c r="R77" i="30"/>
  <c r="R73" i="30"/>
  <c r="R69" i="30"/>
  <c r="R65" i="30"/>
  <c r="R61" i="30"/>
  <c r="R57" i="30"/>
  <c r="R53" i="30"/>
  <c r="R49" i="30"/>
  <c r="R45" i="30"/>
  <c r="R41" i="30"/>
  <c r="R37" i="30"/>
  <c r="R33" i="30"/>
  <c r="R29" i="30"/>
  <c r="R25" i="30"/>
  <c r="R21" i="30"/>
  <c r="R17" i="30"/>
  <c r="R24" i="30"/>
  <c r="S163" i="30"/>
  <c r="S151" i="30"/>
  <c r="S139" i="30"/>
  <c r="S127" i="30"/>
  <c r="S119" i="30"/>
  <c r="S107" i="30"/>
  <c r="S95" i="30"/>
  <c r="S83" i="30"/>
  <c r="S67" i="30"/>
  <c r="S55" i="30"/>
  <c r="S39" i="30"/>
  <c r="S19" i="30"/>
  <c r="R27" i="30"/>
  <c r="S254" i="30"/>
  <c r="S256" i="30"/>
  <c r="S252" i="30"/>
  <c r="S248" i="30"/>
  <c r="S244" i="30"/>
  <c r="S240" i="30"/>
  <c r="S236" i="30"/>
  <c r="S232" i="30"/>
  <c r="S228" i="30"/>
  <c r="S224" i="30"/>
  <c r="S220" i="30"/>
  <c r="S216" i="30"/>
  <c r="S212" i="30"/>
  <c r="S208" i="30"/>
  <c r="S204" i="30"/>
  <c r="S200" i="30"/>
  <c r="S196" i="30"/>
  <c r="S192" i="30"/>
  <c r="S188" i="30"/>
  <c r="S184" i="30"/>
  <c r="S180" i="30"/>
  <c r="S176" i="30"/>
  <c r="S172" i="30"/>
  <c r="S168" i="30"/>
  <c r="S164" i="30"/>
  <c r="S160" i="30"/>
  <c r="S156" i="30"/>
  <c r="S152" i="30"/>
  <c r="S148" i="30"/>
  <c r="S144" i="30"/>
  <c r="S140" i="30"/>
  <c r="S136" i="30"/>
  <c r="S132" i="30"/>
  <c r="S128" i="30"/>
  <c r="S124" i="30"/>
  <c r="S120" i="30"/>
  <c r="S116" i="30"/>
  <c r="S112" i="30"/>
  <c r="S108" i="30"/>
  <c r="S104" i="30"/>
  <c r="S100" i="30"/>
  <c r="S96" i="30"/>
  <c r="S92" i="30"/>
  <c r="S88" i="30"/>
  <c r="S84" i="30"/>
  <c r="S80" i="30"/>
  <c r="S76" i="30"/>
  <c r="S72" i="30"/>
  <c r="S68" i="30"/>
  <c r="S64" i="30"/>
  <c r="S60" i="30"/>
  <c r="S56" i="30"/>
  <c r="S52" i="30"/>
  <c r="S48" i="30"/>
  <c r="S44" i="30"/>
  <c r="S40" i="30"/>
  <c r="S36" i="30"/>
  <c r="S32" i="30"/>
  <c r="S28" i="30"/>
  <c r="S24" i="30"/>
  <c r="S20" i="30"/>
  <c r="S16" i="30"/>
  <c r="R44" i="30"/>
  <c r="R40" i="30"/>
  <c r="R36" i="30"/>
  <c r="R32" i="30"/>
  <c r="R28" i="30"/>
  <c r="R16" i="30"/>
  <c r="S159" i="30"/>
  <c r="S147" i="30"/>
  <c r="S135" i="30"/>
  <c r="S123" i="30"/>
  <c r="S111" i="30"/>
  <c r="S103" i="30"/>
  <c r="S91" i="30"/>
  <c r="S79" i="30"/>
  <c r="S59" i="30"/>
  <c r="S43" i="30"/>
  <c r="S27" i="30"/>
  <c r="S8" i="30"/>
  <c r="R23" i="30"/>
  <c r="S238" i="30"/>
  <c r="S230" i="30"/>
  <c r="R256" i="30"/>
  <c r="R252" i="30"/>
  <c r="R248" i="30"/>
  <c r="R244" i="30"/>
  <c r="R240" i="30"/>
  <c r="R236" i="30"/>
  <c r="R232" i="30"/>
  <c r="R228" i="30"/>
  <c r="R224" i="30"/>
  <c r="R220" i="30"/>
  <c r="R216" i="30"/>
  <c r="R212" i="30"/>
  <c r="R208" i="30"/>
  <c r="R204" i="30"/>
  <c r="R200" i="30"/>
  <c r="R196" i="30"/>
  <c r="R192" i="30"/>
  <c r="R188" i="30"/>
  <c r="R184" i="30"/>
  <c r="R180" i="30"/>
  <c r="R176" i="30"/>
  <c r="R172" i="30"/>
  <c r="R168" i="30"/>
  <c r="R164" i="30"/>
  <c r="R160" i="30"/>
  <c r="R156" i="30"/>
  <c r="R152" i="30"/>
  <c r="R148" i="30"/>
  <c r="R144" i="30"/>
  <c r="R140" i="30"/>
  <c r="R136" i="30"/>
  <c r="R132" i="30"/>
  <c r="R128" i="30"/>
  <c r="R124" i="30"/>
  <c r="R120" i="30"/>
  <c r="R116" i="30"/>
  <c r="R112" i="30"/>
  <c r="R108" i="30"/>
  <c r="R104" i="30"/>
  <c r="R100" i="30"/>
  <c r="R96" i="30"/>
  <c r="R92" i="30"/>
  <c r="R88" i="30"/>
  <c r="R84" i="30"/>
  <c r="R80" i="30"/>
  <c r="R76" i="30"/>
  <c r="R72" i="30"/>
  <c r="R68" i="30"/>
  <c r="R64" i="30"/>
  <c r="R60" i="30"/>
  <c r="R56" i="30"/>
  <c r="R52" i="30"/>
  <c r="R48" i="30"/>
  <c r="S71" i="30"/>
  <c r="S47" i="30"/>
  <c r="S23" i="30"/>
  <c r="R15" i="30"/>
  <c r="S242" i="30"/>
  <c r="S255" i="30"/>
  <c r="S251" i="30"/>
  <c r="S247" i="30"/>
  <c r="S243" i="30"/>
  <c r="S239" i="30"/>
  <c r="S235" i="30"/>
  <c r="S231" i="30"/>
  <c r="S227" i="30"/>
  <c r="S223" i="30"/>
  <c r="S219" i="30"/>
  <c r="S215" i="30"/>
  <c r="S211" i="30"/>
  <c r="S207" i="30"/>
  <c r="S203" i="30"/>
  <c r="S199" i="30"/>
  <c r="S195" i="30"/>
  <c r="S191" i="30"/>
  <c r="S187" i="30"/>
  <c r="S183" i="30"/>
  <c r="S179" i="30"/>
  <c r="S175" i="30"/>
  <c r="S171" i="30"/>
  <c r="S167" i="30"/>
  <c r="S63" i="30"/>
  <c r="S31" i="30"/>
  <c r="R35" i="30"/>
  <c r="S246" i="30"/>
  <c r="S226" i="30"/>
  <c r="R255" i="30"/>
  <c r="R251" i="30"/>
  <c r="R247" i="30"/>
  <c r="R243" i="30"/>
  <c r="R239" i="30"/>
  <c r="R235" i="30"/>
  <c r="R231" i="30"/>
  <c r="R227" i="30"/>
  <c r="R223" i="30"/>
  <c r="R219" i="30"/>
  <c r="R215" i="30"/>
  <c r="R211" i="30"/>
  <c r="R207" i="30"/>
  <c r="R203" i="30"/>
  <c r="R199" i="30"/>
  <c r="R195" i="30"/>
  <c r="R191" i="30"/>
  <c r="R187" i="30"/>
  <c r="R183" i="30"/>
  <c r="R179" i="30"/>
  <c r="R175" i="30"/>
  <c r="R171" i="30"/>
  <c r="R167" i="30"/>
  <c r="R163" i="30"/>
  <c r="R159" i="30"/>
  <c r="R155" i="30"/>
  <c r="R151" i="30"/>
  <c r="R147" i="30"/>
  <c r="R143" i="30"/>
  <c r="R139" i="30"/>
  <c r="R135" i="30"/>
  <c r="R131" i="30"/>
  <c r="R127" i="30"/>
  <c r="R123" i="30"/>
  <c r="R119" i="30"/>
  <c r="R115" i="30"/>
  <c r="R111" i="30"/>
  <c r="R107" i="30"/>
  <c r="R103" i="30"/>
  <c r="R99" i="30"/>
  <c r="R95" i="30"/>
  <c r="R91" i="30"/>
  <c r="R87" i="30"/>
  <c r="R83" i="30"/>
  <c r="R79" i="30"/>
  <c r="R75" i="30"/>
  <c r="R71" i="30"/>
  <c r="R67" i="30"/>
  <c r="R63" i="30"/>
  <c r="R59" i="30"/>
  <c r="R55" i="30"/>
  <c r="R51" i="30"/>
  <c r="R47" i="30"/>
  <c r="R43" i="30"/>
  <c r="R39" i="30"/>
  <c r="R31" i="30"/>
  <c r="R8" i="30"/>
  <c r="S234" i="30"/>
  <c r="S222" i="30"/>
  <c r="R254" i="30"/>
  <c r="R222" i="30"/>
  <c r="R206" i="30"/>
  <c r="R190" i="30"/>
  <c r="R174" i="30"/>
  <c r="R158" i="30"/>
  <c r="R142" i="30"/>
  <c r="R126" i="30"/>
  <c r="R110" i="30"/>
  <c r="R94" i="30"/>
  <c r="R78" i="30"/>
  <c r="R62" i="30"/>
  <c r="R46" i="30"/>
  <c r="R30" i="30"/>
  <c r="R14" i="30"/>
  <c r="R250" i="30"/>
  <c r="S218" i="30"/>
  <c r="S202" i="30"/>
  <c r="S186" i="30"/>
  <c r="S170" i="30"/>
  <c r="S154" i="30"/>
  <c r="S138" i="30"/>
  <c r="S122" i="30"/>
  <c r="S106" i="30"/>
  <c r="S90" i="30"/>
  <c r="S74" i="30"/>
  <c r="S58" i="30"/>
  <c r="S42" i="30"/>
  <c r="S114" i="30"/>
  <c r="S50" i="30"/>
  <c r="R230" i="30"/>
  <c r="R162" i="30"/>
  <c r="R98" i="30"/>
  <c r="R50" i="30"/>
  <c r="R18" i="30"/>
  <c r="S174" i="30"/>
  <c r="S110" i="30"/>
  <c r="S30" i="30"/>
  <c r="S26" i="30"/>
  <c r="S158" i="30"/>
  <c r="S94" i="30"/>
  <c r="S14" i="30"/>
  <c r="R246" i="30"/>
  <c r="R218" i="30"/>
  <c r="R202" i="30"/>
  <c r="R186" i="30"/>
  <c r="R170" i="30"/>
  <c r="R154" i="30"/>
  <c r="R138" i="30"/>
  <c r="R122" i="30"/>
  <c r="R106" i="30"/>
  <c r="R90" i="30"/>
  <c r="R74" i="30"/>
  <c r="R58" i="30"/>
  <c r="R42" i="30"/>
  <c r="R26" i="30"/>
  <c r="R150" i="30"/>
  <c r="R102" i="30"/>
  <c r="R70" i="30"/>
  <c r="R38" i="30"/>
  <c r="R234" i="30"/>
  <c r="S162" i="30"/>
  <c r="S130" i="30"/>
  <c r="S34" i="30"/>
  <c r="R194" i="30"/>
  <c r="R130" i="30"/>
  <c r="R66" i="30"/>
  <c r="S206" i="30"/>
  <c r="S126" i="30"/>
  <c r="S46" i="30"/>
  <c r="R242" i="30"/>
  <c r="S214" i="30"/>
  <c r="S198" i="30"/>
  <c r="S182" i="30"/>
  <c r="S166" i="30"/>
  <c r="S150" i="30"/>
  <c r="S134" i="30"/>
  <c r="S118" i="30"/>
  <c r="S102" i="30"/>
  <c r="S86" i="30"/>
  <c r="S70" i="30"/>
  <c r="S54" i="30"/>
  <c r="S38" i="30"/>
  <c r="S22" i="30"/>
  <c r="R238" i="30"/>
  <c r="R214" i="30"/>
  <c r="R198" i="30"/>
  <c r="R182" i="30"/>
  <c r="R166" i="30"/>
  <c r="R134" i="30"/>
  <c r="R118" i="30"/>
  <c r="R86" i="30"/>
  <c r="R54" i="30"/>
  <c r="R22" i="30"/>
  <c r="S210" i="30"/>
  <c r="S194" i="30"/>
  <c r="S178" i="30"/>
  <c r="S146" i="30"/>
  <c r="S98" i="30"/>
  <c r="S82" i="30"/>
  <c r="S18" i="30"/>
  <c r="R210" i="30"/>
  <c r="R178" i="30"/>
  <c r="R146" i="30"/>
  <c r="R114" i="30"/>
  <c r="R82" i="30"/>
  <c r="R34" i="30"/>
  <c r="R226" i="30"/>
  <c r="S142" i="30"/>
  <c r="S62" i="30"/>
  <c r="S66" i="30"/>
  <c r="S190" i="30"/>
  <c r="S78" i="30"/>
  <c r="P258" i="30"/>
  <c r="I258" i="30"/>
  <c r="O258" i="30"/>
  <c r="T226" i="30" l="1"/>
  <c r="T107" i="30"/>
  <c r="T164" i="30"/>
  <c r="T100" i="30"/>
  <c r="T196" i="30"/>
  <c r="T132" i="30"/>
  <c r="T257" i="30"/>
  <c r="T186" i="30"/>
  <c r="T228" i="30"/>
  <c r="L258" i="30"/>
  <c r="F258" i="30"/>
  <c r="T131" i="30"/>
  <c r="T246" i="30"/>
  <c r="T87" i="30"/>
  <c r="T91" i="30"/>
  <c r="T55" i="26"/>
  <c r="V55" i="26"/>
  <c r="R56" i="26"/>
  <c r="U56" i="26"/>
  <c r="S56" i="26"/>
  <c r="R55" i="25"/>
  <c r="Q56" i="25"/>
  <c r="U55" i="25"/>
  <c r="S55" i="25"/>
  <c r="V54" i="25"/>
  <c r="T54" i="25"/>
  <c r="V55" i="10"/>
  <c r="T55" i="10"/>
  <c r="S56" i="10"/>
  <c r="Q57" i="10"/>
  <c r="U56" i="10"/>
  <c r="R56" i="10"/>
  <c r="T83" i="30"/>
  <c r="T127" i="30"/>
  <c r="T75" i="30"/>
  <c r="T123" i="30"/>
  <c r="T65" i="30"/>
  <c r="T161" i="30"/>
  <c r="T95" i="30"/>
  <c r="T69" i="30"/>
  <c r="T165" i="30"/>
  <c r="T15" i="30"/>
  <c r="T64" i="30"/>
  <c r="T96" i="30"/>
  <c r="T128" i="30"/>
  <c r="T160" i="30"/>
  <c r="T192" i="30"/>
  <c r="T224" i="30"/>
  <c r="T256" i="30"/>
  <c r="T35" i="30"/>
  <c r="T225" i="30"/>
  <c r="T68" i="30"/>
  <c r="T33" i="30"/>
  <c r="T129" i="30"/>
  <c r="T58" i="30"/>
  <c r="T142" i="30"/>
  <c r="T187" i="30"/>
  <c r="T250" i="30"/>
  <c r="T135" i="30"/>
  <c r="T238" i="30"/>
  <c r="T254" i="30"/>
  <c r="T59" i="30"/>
  <c r="T115" i="30"/>
  <c r="T22" i="30"/>
  <c r="T219" i="30"/>
  <c r="T97" i="30"/>
  <c r="T193" i="30"/>
  <c r="T101" i="30"/>
  <c r="T197" i="30"/>
  <c r="T54" i="30"/>
  <c r="T143" i="30"/>
  <c r="T28" i="30"/>
  <c r="T36" i="30"/>
  <c r="T14" i="30"/>
  <c r="T155" i="30"/>
  <c r="T251" i="30"/>
  <c r="T159" i="30"/>
  <c r="T37" i="30"/>
  <c r="T133" i="30"/>
  <c r="T229" i="30"/>
  <c r="T242" i="30"/>
  <c r="T237" i="30"/>
  <c r="T51" i="30"/>
  <c r="T178" i="30"/>
  <c r="T198" i="30"/>
  <c r="T42" i="30"/>
  <c r="T170" i="30"/>
  <c r="T119" i="30"/>
  <c r="T183" i="30"/>
  <c r="T215" i="30"/>
  <c r="T247" i="30"/>
  <c r="T71" i="30"/>
  <c r="T111" i="30"/>
  <c r="T60" i="30"/>
  <c r="T92" i="30"/>
  <c r="T124" i="30"/>
  <c r="T156" i="30"/>
  <c r="T188" i="30"/>
  <c r="T220" i="30"/>
  <c r="T252" i="30"/>
  <c r="T25" i="30"/>
  <c r="T57" i="30"/>
  <c r="T230" i="30"/>
  <c r="T126" i="30"/>
  <c r="T55" i="30"/>
  <c r="T151" i="30"/>
  <c r="T29" i="30"/>
  <c r="T61" i="30"/>
  <c r="T93" i="30"/>
  <c r="T125" i="30"/>
  <c r="T157" i="30"/>
  <c r="T189" i="30"/>
  <c r="T221" i="30"/>
  <c r="T253" i="30"/>
  <c r="T12" i="30"/>
  <c r="T11" i="30"/>
  <c r="T202" i="30"/>
  <c r="T191" i="30"/>
  <c r="T223" i="30"/>
  <c r="T255" i="30"/>
  <c r="T72" i="30"/>
  <c r="T104" i="30"/>
  <c r="T136" i="30"/>
  <c r="T168" i="30"/>
  <c r="T200" i="30"/>
  <c r="T232" i="30"/>
  <c r="T31" i="30"/>
  <c r="T41" i="30"/>
  <c r="T73" i="30"/>
  <c r="T105" i="30"/>
  <c r="T137" i="30"/>
  <c r="T169" i="30"/>
  <c r="T201" i="30"/>
  <c r="T233" i="30"/>
  <c r="T74" i="30"/>
  <c r="T43" i="30"/>
  <c r="T40" i="30"/>
  <c r="T147" i="30"/>
  <c r="T214" i="30"/>
  <c r="T90" i="30"/>
  <c r="T218" i="30"/>
  <c r="T67" i="30"/>
  <c r="T163" i="30"/>
  <c r="T195" i="30"/>
  <c r="T227" i="30"/>
  <c r="T76" i="30"/>
  <c r="T108" i="30"/>
  <c r="T140" i="30"/>
  <c r="T172" i="30"/>
  <c r="T204" i="30"/>
  <c r="T236" i="30"/>
  <c r="T34" i="30"/>
  <c r="T70" i="30"/>
  <c r="T103" i="30"/>
  <c r="T13" i="30"/>
  <c r="T45" i="30"/>
  <c r="T77" i="30"/>
  <c r="T109" i="30"/>
  <c r="T141" i="30"/>
  <c r="T173" i="30"/>
  <c r="T205" i="30"/>
  <c r="T63" i="30"/>
  <c r="T86" i="30"/>
  <c r="T134" i="30"/>
  <c r="T158" i="30"/>
  <c r="T114" i="30"/>
  <c r="T194" i="30"/>
  <c r="T138" i="30"/>
  <c r="T47" i="30"/>
  <c r="T175" i="30"/>
  <c r="T207" i="30"/>
  <c r="T239" i="30"/>
  <c r="T56" i="30"/>
  <c r="T88" i="30"/>
  <c r="T120" i="30"/>
  <c r="T152" i="30"/>
  <c r="T184" i="30"/>
  <c r="T216" i="30"/>
  <c r="T248" i="30"/>
  <c r="T44" i="30"/>
  <c r="T10" i="30"/>
  <c r="T16" i="30"/>
  <c r="T234" i="30"/>
  <c r="T30" i="30"/>
  <c r="T38" i="30"/>
  <c r="T9" i="30"/>
  <c r="T46" i="30"/>
  <c r="T174" i="30"/>
  <c r="T99" i="30"/>
  <c r="T23" i="30"/>
  <c r="T32" i="30"/>
  <c r="T24" i="30"/>
  <c r="T19" i="30"/>
  <c r="T210" i="30"/>
  <c r="T118" i="30"/>
  <c r="T66" i="30"/>
  <c r="T106" i="30"/>
  <c r="T18" i="30"/>
  <c r="T62" i="30"/>
  <c r="T190" i="30"/>
  <c r="T39" i="30"/>
  <c r="T167" i="30"/>
  <c r="T199" i="30"/>
  <c r="T231" i="30"/>
  <c r="T48" i="30"/>
  <c r="T80" i="30"/>
  <c r="T112" i="30"/>
  <c r="T144" i="30"/>
  <c r="T176" i="30"/>
  <c r="T208" i="30"/>
  <c r="T240" i="30"/>
  <c r="T130" i="30"/>
  <c r="T102" i="30"/>
  <c r="T122" i="30"/>
  <c r="T50" i="30"/>
  <c r="T78" i="30"/>
  <c r="T206" i="30"/>
  <c r="T139" i="30"/>
  <c r="T171" i="30"/>
  <c r="T203" i="30"/>
  <c r="T235" i="30"/>
  <c r="T52" i="30"/>
  <c r="T84" i="30"/>
  <c r="T116" i="30"/>
  <c r="T148" i="30"/>
  <c r="T180" i="30"/>
  <c r="T212" i="30"/>
  <c r="T244" i="30"/>
  <c r="T17" i="30"/>
  <c r="T49" i="30"/>
  <c r="T81" i="30"/>
  <c r="T113" i="30"/>
  <c r="T145" i="30"/>
  <c r="T177" i="30"/>
  <c r="T209" i="30"/>
  <c r="T241" i="30"/>
  <c r="T150" i="30"/>
  <c r="T98" i="30"/>
  <c r="T94" i="30"/>
  <c r="T222" i="30"/>
  <c r="T79" i="30"/>
  <c r="T27" i="30"/>
  <c r="T21" i="30"/>
  <c r="T53" i="30"/>
  <c r="T85" i="30"/>
  <c r="T117" i="30"/>
  <c r="T149" i="30"/>
  <c r="T181" i="30"/>
  <c r="T213" i="30"/>
  <c r="T245" i="30"/>
  <c r="T20" i="30"/>
  <c r="T82" i="30"/>
  <c r="T166" i="30"/>
  <c r="T146" i="30"/>
  <c r="T182" i="30"/>
  <c r="T26" i="30"/>
  <c r="T154" i="30"/>
  <c r="T162" i="30"/>
  <c r="T110" i="30"/>
  <c r="T179" i="30"/>
  <c r="T211" i="30"/>
  <c r="T243" i="30"/>
  <c r="T89" i="30"/>
  <c r="T121" i="30"/>
  <c r="T153" i="30"/>
  <c r="T185" i="30"/>
  <c r="T217" i="30"/>
  <c r="T249" i="30"/>
  <c r="R258" i="30"/>
  <c r="T8" i="30"/>
  <c r="S258" i="30"/>
  <c r="V56" i="26" l="1"/>
  <c r="T56" i="26"/>
  <c r="U56" i="25"/>
  <c r="R56" i="25"/>
  <c r="S56" i="25"/>
  <c r="T55" i="25"/>
  <c r="V55" i="25"/>
  <c r="V56" i="10"/>
  <c r="T56" i="10"/>
  <c r="S57" i="10"/>
  <c r="R57" i="10"/>
  <c r="Q58" i="10"/>
  <c r="U57" i="10"/>
  <c r="T258" i="30"/>
  <c r="C4" i="2"/>
  <c r="D4" i="8"/>
  <c r="AC22" i="3" s="1"/>
  <c r="A267" i="2"/>
  <c r="V56" i="25" l="1"/>
  <c r="T56" i="25"/>
  <c r="S58" i="10"/>
  <c r="R58" i="10"/>
  <c r="Q59" i="10"/>
  <c r="U58" i="10"/>
  <c r="T57" i="10"/>
  <c r="V57" i="10"/>
  <c r="B9" i="8"/>
  <c r="T58" i="10" l="1"/>
  <c r="V58" i="10"/>
  <c r="S59" i="10"/>
  <c r="U59" i="10"/>
  <c r="R59" i="10"/>
  <c r="Q60" i="10"/>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G29" i="8"/>
  <c r="C23" i="3"/>
  <c r="Q61" i="10" l="1"/>
  <c r="R60" i="10"/>
  <c r="U60" i="10"/>
  <c r="S60" i="10"/>
  <c r="T59" i="10"/>
  <c r="V59" i="10"/>
  <c r="C22" i="3"/>
  <c r="A22" i="3"/>
  <c r="T60" i="10" l="1"/>
  <c r="V60" i="10"/>
  <c r="U61" i="10"/>
  <c r="R61" i="10"/>
  <c r="Q62" i="10"/>
  <c r="S61" i="10"/>
  <c r="L15" i="2"/>
  <c r="AF14" i="4" s="1"/>
  <c r="A14" i="4"/>
  <c r="B14" i="4"/>
  <c r="Z14" i="4"/>
  <c r="AE14" i="4" s="1"/>
  <c r="AH14" i="4"/>
  <c r="A64" i="28"/>
  <c r="A63" i="28"/>
  <c r="A45" i="29"/>
  <c r="A46" i="29"/>
  <c r="T61" i="10" l="1"/>
  <c r="V61" i="10"/>
  <c r="U62" i="10"/>
  <c r="Q63" i="10"/>
  <c r="S62" i="10"/>
  <c r="R62" i="10"/>
  <c r="AG14" i="4"/>
  <c r="U63" i="10" l="1"/>
  <c r="Q64" i="10"/>
  <c r="S63" i="10"/>
  <c r="R63" i="10"/>
  <c r="T62" i="10"/>
  <c r="V62" i="10"/>
  <c r="AD258" i="4"/>
  <c r="AC258" i="4"/>
  <c r="AB258" i="4"/>
  <c r="AA258" i="4"/>
  <c r="G36" i="8" s="1"/>
  <c r="P258" i="4"/>
  <c r="Q258" i="4"/>
  <c r="R258" i="4"/>
  <c r="S258" i="4"/>
  <c r="T258" i="4"/>
  <c r="U258" i="4"/>
  <c r="V258" i="4"/>
  <c r="W258" i="4"/>
  <c r="X258" i="4"/>
  <c r="T63" i="10" l="1"/>
  <c r="V63" i="10"/>
  <c r="U64" i="10"/>
  <c r="Q65" i="10"/>
  <c r="S64" i="10"/>
  <c r="R64" i="10"/>
  <c r="E258" i="4"/>
  <c r="F258" i="4"/>
  <c r="G258" i="4"/>
  <c r="H258" i="4"/>
  <c r="I258" i="4"/>
  <c r="J258" i="4"/>
  <c r="K258" i="4"/>
  <c r="L258" i="4"/>
  <c r="M258" i="4"/>
  <c r="O258" i="4"/>
  <c r="U65" i="10" l="1"/>
  <c r="R65" i="10"/>
  <c r="Q66" i="10"/>
  <c r="S65" i="10"/>
  <c r="T64" i="10"/>
  <c r="V64" i="10"/>
  <c r="L14" i="2"/>
  <c r="AF13" i="4" s="1"/>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3" i="4"/>
  <c r="A13" i="4"/>
  <c r="B12" i="4"/>
  <c r="A12" i="4"/>
  <c r="B11" i="4"/>
  <c r="A11" i="4"/>
  <c r="B10" i="4"/>
  <c r="A10" i="4"/>
  <c r="B9" i="4"/>
  <c r="A9" i="4"/>
  <c r="B8" i="4"/>
  <c r="A8" i="4"/>
  <c r="AF7" i="4"/>
  <c r="B7" i="4"/>
  <c r="U66" i="10" l="1"/>
  <c r="S66" i="10"/>
  <c r="R66" i="10"/>
  <c r="Q67" i="10"/>
  <c r="T65" i="10"/>
  <c r="V65" i="10"/>
  <c r="Z257" i="4"/>
  <c r="AE257" i="4" s="1"/>
  <c r="Z256" i="4"/>
  <c r="AE256" i="4" s="1"/>
  <c r="Z255" i="4"/>
  <c r="AE255" i="4" s="1"/>
  <c r="Z254" i="4"/>
  <c r="AE254" i="4" s="1"/>
  <c r="Z253" i="4"/>
  <c r="AE253" i="4" s="1"/>
  <c r="Z252" i="4"/>
  <c r="AE252" i="4" s="1"/>
  <c r="Z251" i="4"/>
  <c r="AE251" i="4" s="1"/>
  <c r="Z250" i="4"/>
  <c r="AE250" i="4" s="1"/>
  <c r="Z249" i="4"/>
  <c r="AE249" i="4" s="1"/>
  <c r="Z248" i="4"/>
  <c r="AE248" i="4" s="1"/>
  <c r="Z247" i="4"/>
  <c r="AE247" i="4" s="1"/>
  <c r="Z246" i="4"/>
  <c r="AE246" i="4" s="1"/>
  <c r="Z245" i="4"/>
  <c r="AE245" i="4" s="1"/>
  <c r="Z244" i="4"/>
  <c r="AE244" i="4" s="1"/>
  <c r="Z243" i="4"/>
  <c r="AE243" i="4" s="1"/>
  <c r="Z242" i="4"/>
  <c r="AE242" i="4" s="1"/>
  <c r="Z241" i="4"/>
  <c r="AE241" i="4" s="1"/>
  <c r="Z240" i="4"/>
  <c r="AE240" i="4" s="1"/>
  <c r="Z239" i="4"/>
  <c r="AE239" i="4" s="1"/>
  <c r="Z238" i="4"/>
  <c r="AE238" i="4" s="1"/>
  <c r="Z237" i="4"/>
  <c r="AE237" i="4" s="1"/>
  <c r="Z236" i="4"/>
  <c r="AE236" i="4" s="1"/>
  <c r="Z235" i="4"/>
  <c r="AE235" i="4" s="1"/>
  <c r="Z234" i="4"/>
  <c r="AE234" i="4" s="1"/>
  <c r="Z233" i="4"/>
  <c r="AE233" i="4" s="1"/>
  <c r="Z232" i="4"/>
  <c r="AE232" i="4" s="1"/>
  <c r="Z231" i="4"/>
  <c r="AE231" i="4" s="1"/>
  <c r="Z230" i="4"/>
  <c r="AE230" i="4" s="1"/>
  <c r="Z229" i="4"/>
  <c r="AE229" i="4" s="1"/>
  <c r="Z228" i="4"/>
  <c r="AE228" i="4" s="1"/>
  <c r="Z227" i="4"/>
  <c r="AE227" i="4" s="1"/>
  <c r="Z226" i="4"/>
  <c r="AE226" i="4" s="1"/>
  <c r="Z225" i="4"/>
  <c r="AE225" i="4" s="1"/>
  <c r="Z224" i="4"/>
  <c r="AE224" i="4" s="1"/>
  <c r="Z223" i="4"/>
  <c r="AE223" i="4" s="1"/>
  <c r="Z222" i="4"/>
  <c r="AE222" i="4" s="1"/>
  <c r="Z221" i="4"/>
  <c r="AE221" i="4" s="1"/>
  <c r="Z220" i="4"/>
  <c r="AE220" i="4" s="1"/>
  <c r="Z219" i="4"/>
  <c r="AE219" i="4" s="1"/>
  <c r="Z218" i="4"/>
  <c r="AE218" i="4" s="1"/>
  <c r="Z217" i="4"/>
  <c r="AE217" i="4" s="1"/>
  <c r="Z216" i="4"/>
  <c r="AE216" i="4" s="1"/>
  <c r="Z215" i="4"/>
  <c r="AE215" i="4" s="1"/>
  <c r="Z214" i="4"/>
  <c r="AE214" i="4" s="1"/>
  <c r="Z213" i="4"/>
  <c r="AE213" i="4" s="1"/>
  <c r="Z212" i="4"/>
  <c r="AE212" i="4" s="1"/>
  <c r="Z211" i="4"/>
  <c r="AE211" i="4" s="1"/>
  <c r="Z210" i="4"/>
  <c r="AE210" i="4" s="1"/>
  <c r="Z209" i="4"/>
  <c r="AE209" i="4" s="1"/>
  <c r="Z208" i="4"/>
  <c r="AE208" i="4" s="1"/>
  <c r="Z207" i="4"/>
  <c r="AE207" i="4" s="1"/>
  <c r="Z206" i="4"/>
  <c r="AE206" i="4" s="1"/>
  <c r="Z205" i="4"/>
  <c r="AE205" i="4" s="1"/>
  <c r="Z204" i="4"/>
  <c r="AE204" i="4" s="1"/>
  <c r="Z203" i="4"/>
  <c r="AE203" i="4" s="1"/>
  <c r="Z202" i="4"/>
  <c r="AE202" i="4" s="1"/>
  <c r="Z201" i="4"/>
  <c r="AE201" i="4" s="1"/>
  <c r="Z200" i="4"/>
  <c r="AE200" i="4" s="1"/>
  <c r="Z199" i="4"/>
  <c r="AE199" i="4" s="1"/>
  <c r="Z198" i="4"/>
  <c r="AE198" i="4" s="1"/>
  <c r="Z197" i="4"/>
  <c r="AE197" i="4" s="1"/>
  <c r="Z196" i="4"/>
  <c r="AE196" i="4" s="1"/>
  <c r="Z195" i="4"/>
  <c r="AE195" i="4" s="1"/>
  <c r="Z194" i="4"/>
  <c r="AE194" i="4" s="1"/>
  <c r="Z193" i="4"/>
  <c r="AE193" i="4" s="1"/>
  <c r="Z192" i="4"/>
  <c r="AE192" i="4" s="1"/>
  <c r="Z191" i="4"/>
  <c r="AE191" i="4" s="1"/>
  <c r="Z190" i="4"/>
  <c r="AE190" i="4" s="1"/>
  <c r="Z189" i="4"/>
  <c r="AE189" i="4" s="1"/>
  <c r="Z188" i="4"/>
  <c r="AE188" i="4" s="1"/>
  <c r="Z187" i="4"/>
  <c r="AE187" i="4" s="1"/>
  <c r="Z186" i="4"/>
  <c r="AE186" i="4" s="1"/>
  <c r="Z185" i="4"/>
  <c r="AE185" i="4" s="1"/>
  <c r="Z184" i="4"/>
  <c r="AE184" i="4" s="1"/>
  <c r="Z183" i="4"/>
  <c r="AE183" i="4" s="1"/>
  <c r="Z182" i="4"/>
  <c r="AE182" i="4" s="1"/>
  <c r="Z181" i="4"/>
  <c r="AE181" i="4" s="1"/>
  <c r="Z180" i="4"/>
  <c r="AE180" i="4" s="1"/>
  <c r="Z179" i="4"/>
  <c r="AE179" i="4" s="1"/>
  <c r="Z178" i="4"/>
  <c r="AE178" i="4" s="1"/>
  <c r="Z177" i="4"/>
  <c r="AE177" i="4" s="1"/>
  <c r="Z176" i="4"/>
  <c r="AE176" i="4" s="1"/>
  <c r="Z175" i="4"/>
  <c r="AE175" i="4" s="1"/>
  <c r="Z174" i="4"/>
  <c r="AE174" i="4" s="1"/>
  <c r="Z173" i="4"/>
  <c r="AE173" i="4" s="1"/>
  <c r="Z172" i="4"/>
  <c r="AE172" i="4" s="1"/>
  <c r="Z171" i="4"/>
  <c r="AE171" i="4" s="1"/>
  <c r="Z170" i="4"/>
  <c r="AE170" i="4" s="1"/>
  <c r="Z169" i="4"/>
  <c r="AE169" i="4" s="1"/>
  <c r="Z168" i="4"/>
  <c r="AE168" i="4" s="1"/>
  <c r="Z167" i="4"/>
  <c r="AE167" i="4" s="1"/>
  <c r="Z166" i="4"/>
  <c r="AE166" i="4" s="1"/>
  <c r="Z165" i="4"/>
  <c r="AE165" i="4" s="1"/>
  <c r="Z164" i="4"/>
  <c r="AE164" i="4" s="1"/>
  <c r="Z163" i="4"/>
  <c r="AE163" i="4" s="1"/>
  <c r="Z162" i="4"/>
  <c r="AE162" i="4" s="1"/>
  <c r="Z161" i="4"/>
  <c r="AE161" i="4" s="1"/>
  <c r="Z160" i="4"/>
  <c r="AE160" i="4" s="1"/>
  <c r="Z159" i="4"/>
  <c r="AE159" i="4" s="1"/>
  <c r="Z158" i="4"/>
  <c r="AE158" i="4" s="1"/>
  <c r="Z157" i="4"/>
  <c r="AE157" i="4" s="1"/>
  <c r="Z156" i="4"/>
  <c r="AE156" i="4" s="1"/>
  <c r="Z155" i="4"/>
  <c r="AE155" i="4" s="1"/>
  <c r="Z154" i="4"/>
  <c r="AE154" i="4" s="1"/>
  <c r="Z153" i="4"/>
  <c r="AE153" i="4" s="1"/>
  <c r="Z152" i="4"/>
  <c r="AE152" i="4" s="1"/>
  <c r="Z151" i="4"/>
  <c r="AE151" i="4" s="1"/>
  <c r="Z150" i="4"/>
  <c r="AE150" i="4" s="1"/>
  <c r="Z149" i="4"/>
  <c r="AE149" i="4" s="1"/>
  <c r="Z148" i="4"/>
  <c r="AE148" i="4" s="1"/>
  <c r="Z147" i="4"/>
  <c r="AE147" i="4" s="1"/>
  <c r="Z146" i="4"/>
  <c r="AE146" i="4" s="1"/>
  <c r="Z145" i="4"/>
  <c r="AE145" i="4" s="1"/>
  <c r="Z144" i="4"/>
  <c r="AE144" i="4" s="1"/>
  <c r="Z143" i="4"/>
  <c r="AE143" i="4" s="1"/>
  <c r="Z142" i="4"/>
  <c r="AE142" i="4" s="1"/>
  <c r="Z141" i="4"/>
  <c r="AE141" i="4" s="1"/>
  <c r="Z140" i="4"/>
  <c r="AE140" i="4" s="1"/>
  <c r="Z139" i="4"/>
  <c r="AE139" i="4" s="1"/>
  <c r="Z138" i="4"/>
  <c r="AE138" i="4" s="1"/>
  <c r="Z137" i="4"/>
  <c r="AE137" i="4" s="1"/>
  <c r="Z136" i="4"/>
  <c r="AE136" i="4" s="1"/>
  <c r="Z135" i="4"/>
  <c r="AE135" i="4" s="1"/>
  <c r="Z134" i="4"/>
  <c r="AE134" i="4" s="1"/>
  <c r="Z133" i="4"/>
  <c r="AE133" i="4" s="1"/>
  <c r="Z132" i="4"/>
  <c r="AE132" i="4" s="1"/>
  <c r="Z131" i="4"/>
  <c r="AE131" i="4" s="1"/>
  <c r="Z130" i="4"/>
  <c r="AE130" i="4" s="1"/>
  <c r="Z129" i="4"/>
  <c r="AE129" i="4" s="1"/>
  <c r="Z128" i="4"/>
  <c r="AE128" i="4" s="1"/>
  <c r="Z127" i="4"/>
  <c r="AE127" i="4" s="1"/>
  <c r="Z126" i="4"/>
  <c r="AE126" i="4" s="1"/>
  <c r="Z125" i="4"/>
  <c r="AE125" i="4" s="1"/>
  <c r="Z124" i="4"/>
  <c r="AE124" i="4" s="1"/>
  <c r="Z123" i="4"/>
  <c r="AE123" i="4" s="1"/>
  <c r="Z122" i="4"/>
  <c r="AE122" i="4" s="1"/>
  <c r="Z121" i="4"/>
  <c r="AE121" i="4" s="1"/>
  <c r="Z120" i="4"/>
  <c r="AE120" i="4" s="1"/>
  <c r="Z119" i="4"/>
  <c r="AE119" i="4" s="1"/>
  <c r="Z118" i="4"/>
  <c r="AE118" i="4" s="1"/>
  <c r="Z117" i="4"/>
  <c r="AE117" i="4" s="1"/>
  <c r="Z116" i="4"/>
  <c r="AE116" i="4" s="1"/>
  <c r="Z115" i="4"/>
  <c r="AE115" i="4" s="1"/>
  <c r="Z114" i="4"/>
  <c r="AE114" i="4" s="1"/>
  <c r="Z113" i="4"/>
  <c r="AE113" i="4" s="1"/>
  <c r="Z112" i="4"/>
  <c r="AE112" i="4" s="1"/>
  <c r="Z111" i="4"/>
  <c r="AE111" i="4" s="1"/>
  <c r="Z110" i="4"/>
  <c r="AE110" i="4" s="1"/>
  <c r="Z109" i="4"/>
  <c r="AE109" i="4" s="1"/>
  <c r="Z108" i="4"/>
  <c r="AE108" i="4" s="1"/>
  <c r="Z107" i="4"/>
  <c r="AE107" i="4" s="1"/>
  <c r="Z106" i="4"/>
  <c r="AE106" i="4" s="1"/>
  <c r="Z105" i="4"/>
  <c r="AE105" i="4" s="1"/>
  <c r="Z104" i="4"/>
  <c r="AE104" i="4" s="1"/>
  <c r="Z103" i="4"/>
  <c r="AE103" i="4" s="1"/>
  <c r="Z102" i="4"/>
  <c r="AE102" i="4" s="1"/>
  <c r="Z101" i="4"/>
  <c r="AE101" i="4" s="1"/>
  <c r="Z100" i="4"/>
  <c r="AE100" i="4" s="1"/>
  <c r="Z99" i="4"/>
  <c r="AE99" i="4" s="1"/>
  <c r="Z98" i="4"/>
  <c r="AE98" i="4" s="1"/>
  <c r="Z97" i="4"/>
  <c r="AE97" i="4" s="1"/>
  <c r="Z96" i="4"/>
  <c r="AE96" i="4" s="1"/>
  <c r="Z95" i="4"/>
  <c r="AE95" i="4" s="1"/>
  <c r="Z94" i="4"/>
  <c r="AE94" i="4" s="1"/>
  <c r="Z93" i="4"/>
  <c r="AE93" i="4" s="1"/>
  <c r="Z92" i="4"/>
  <c r="AE92" i="4" s="1"/>
  <c r="Z91" i="4"/>
  <c r="AE91" i="4" s="1"/>
  <c r="Z90" i="4"/>
  <c r="AE90" i="4" s="1"/>
  <c r="Z89" i="4"/>
  <c r="AE89" i="4" s="1"/>
  <c r="Z88" i="4"/>
  <c r="AE88" i="4" s="1"/>
  <c r="Z87" i="4"/>
  <c r="AE87" i="4" s="1"/>
  <c r="Z86" i="4"/>
  <c r="AE86" i="4" s="1"/>
  <c r="Z85" i="4"/>
  <c r="AE85" i="4" s="1"/>
  <c r="Z84" i="4"/>
  <c r="AE84" i="4" s="1"/>
  <c r="Z83" i="4"/>
  <c r="AE83" i="4" s="1"/>
  <c r="Z82" i="4"/>
  <c r="AE82" i="4" s="1"/>
  <c r="Z81" i="4"/>
  <c r="AE81" i="4" s="1"/>
  <c r="Z80" i="4"/>
  <c r="AE80" i="4" s="1"/>
  <c r="Z79" i="4"/>
  <c r="AE79" i="4" s="1"/>
  <c r="Z78" i="4"/>
  <c r="AE78" i="4" s="1"/>
  <c r="Z77" i="4"/>
  <c r="AE77" i="4" s="1"/>
  <c r="Z76" i="4"/>
  <c r="AE76" i="4" s="1"/>
  <c r="Z75" i="4"/>
  <c r="AE75" i="4" s="1"/>
  <c r="Z74" i="4"/>
  <c r="AE74" i="4" s="1"/>
  <c r="Z73" i="4"/>
  <c r="AE73" i="4" s="1"/>
  <c r="Z72" i="4"/>
  <c r="AE72" i="4" s="1"/>
  <c r="Z71" i="4"/>
  <c r="AE71" i="4" s="1"/>
  <c r="Z70" i="4"/>
  <c r="AE70" i="4" s="1"/>
  <c r="Z69" i="4"/>
  <c r="AE69" i="4" s="1"/>
  <c r="Z68" i="4"/>
  <c r="AE68" i="4" s="1"/>
  <c r="Z67" i="4"/>
  <c r="AE67" i="4" s="1"/>
  <c r="Z66" i="4"/>
  <c r="AE66" i="4" s="1"/>
  <c r="Z65" i="4"/>
  <c r="AE65" i="4" s="1"/>
  <c r="Z64" i="4"/>
  <c r="AE64" i="4" s="1"/>
  <c r="Z63" i="4"/>
  <c r="AE63" i="4" s="1"/>
  <c r="Z62" i="4"/>
  <c r="AE62" i="4" s="1"/>
  <c r="Z61" i="4"/>
  <c r="AE61" i="4" s="1"/>
  <c r="Z60" i="4"/>
  <c r="AE60" i="4" s="1"/>
  <c r="Z59" i="4"/>
  <c r="AE59" i="4" s="1"/>
  <c r="Z58" i="4"/>
  <c r="AE58" i="4" s="1"/>
  <c r="Z57" i="4"/>
  <c r="AE57" i="4" s="1"/>
  <c r="Z56" i="4"/>
  <c r="AE56" i="4" s="1"/>
  <c r="Z55" i="4"/>
  <c r="AE55" i="4" s="1"/>
  <c r="Z54" i="4"/>
  <c r="AE54" i="4" s="1"/>
  <c r="Z53" i="4"/>
  <c r="AE53" i="4" s="1"/>
  <c r="Z52" i="4"/>
  <c r="AE52" i="4" s="1"/>
  <c r="Z51" i="4"/>
  <c r="AE51" i="4" s="1"/>
  <c r="Z50" i="4"/>
  <c r="AE50" i="4" s="1"/>
  <c r="Z49" i="4"/>
  <c r="AE49" i="4" s="1"/>
  <c r="Z48" i="4"/>
  <c r="AE48" i="4" s="1"/>
  <c r="Z47" i="4"/>
  <c r="AE47" i="4" s="1"/>
  <c r="Z46" i="4"/>
  <c r="AE46" i="4" s="1"/>
  <c r="Z45" i="4"/>
  <c r="AE45" i="4" s="1"/>
  <c r="Z44" i="4"/>
  <c r="AE44" i="4" s="1"/>
  <c r="Z43" i="4"/>
  <c r="AE43" i="4" s="1"/>
  <c r="Z42" i="4"/>
  <c r="AE42" i="4" s="1"/>
  <c r="Z41" i="4"/>
  <c r="AE41" i="4" s="1"/>
  <c r="Z40" i="4"/>
  <c r="AE40" i="4" s="1"/>
  <c r="Z39" i="4"/>
  <c r="AE39" i="4" s="1"/>
  <c r="Z38" i="4"/>
  <c r="AE38" i="4" s="1"/>
  <c r="Z37" i="4"/>
  <c r="AE37" i="4" s="1"/>
  <c r="Z36" i="4"/>
  <c r="AE36" i="4" s="1"/>
  <c r="Z35" i="4"/>
  <c r="AE35" i="4" s="1"/>
  <c r="Z34" i="4"/>
  <c r="AE34" i="4" s="1"/>
  <c r="Z33" i="4"/>
  <c r="AE33" i="4" s="1"/>
  <c r="Z32" i="4"/>
  <c r="AE32" i="4" s="1"/>
  <c r="Z31" i="4"/>
  <c r="AE31" i="4" s="1"/>
  <c r="Z30" i="4"/>
  <c r="AE30" i="4" s="1"/>
  <c r="Z29" i="4"/>
  <c r="AE29" i="4" s="1"/>
  <c r="Z28" i="4"/>
  <c r="AE28" i="4" s="1"/>
  <c r="Z27" i="4"/>
  <c r="AE27" i="4" s="1"/>
  <c r="Z26" i="4"/>
  <c r="AE26" i="4" s="1"/>
  <c r="Z25" i="4"/>
  <c r="AE25" i="4" s="1"/>
  <c r="Z24" i="4"/>
  <c r="AE24" i="4" s="1"/>
  <c r="Z23" i="4"/>
  <c r="AE23" i="4" s="1"/>
  <c r="Z22" i="4"/>
  <c r="AE22" i="4" s="1"/>
  <c r="Z21" i="4"/>
  <c r="AE21" i="4" s="1"/>
  <c r="Z20" i="4"/>
  <c r="AE20" i="4" s="1"/>
  <c r="Z19" i="4"/>
  <c r="AE19" i="4" s="1"/>
  <c r="Z18" i="4"/>
  <c r="AE18" i="4" s="1"/>
  <c r="Z17" i="4"/>
  <c r="AE17" i="4" s="1"/>
  <c r="Z16" i="4"/>
  <c r="AE16" i="4" s="1"/>
  <c r="Z15" i="4"/>
  <c r="AE15" i="4" s="1"/>
  <c r="Z13" i="4"/>
  <c r="AE13" i="4" s="1"/>
  <c r="AG13" i="4" s="1"/>
  <c r="Z12" i="4"/>
  <c r="AE12" i="4" s="1"/>
  <c r="Z11" i="4"/>
  <c r="AE11" i="4" s="1"/>
  <c r="Z10" i="4"/>
  <c r="AE10" i="4" s="1"/>
  <c r="Z9" i="4"/>
  <c r="AE9" i="4" s="1"/>
  <c r="Z8" i="4"/>
  <c r="I259" i="2"/>
  <c r="H259" i="2"/>
  <c r="L258" i="2"/>
  <c r="AF257" i="4" s="1"/>
  <c r="AG257" i="4" s="1"/>
  <c r="L257" i="2"/>
  <c r="AF256" i="4" s="1"/>
  <c r="AG256" i="4" s="1"/>
  <c r="L256" i="2"/>
  <c r="AF255" i="4" s="1"/>
  <c r="AG255" i="4" s="1"/>
  <c r="L255" i="2"/>
  <c r="AF254" i="4" s="1"/>
  <c r="AG254" i="4" s="1"/>
  <c r="L254" i="2"/>
  <c r="AF253" i="4" s="1"/>
  <c r="AG253" i="4" s="1"/>
  <c r="L253" i="2"/>
  <c r="AF252" i="4" s="1"/>
  <c r="AG252" i="4" s="1"/>
  <c r="L252" i="2"/>
  <c r="AF251" i="4" s="1"/>
  <c r="AG251" i="4" s="1"/>
  <c r="L251" i="2"/>
  <c r="AF250" i="4" s="1"/>
  <c r="AG250" i="4" s="1"/>
  <c r="L250" i="2"/>
  <c r="AF249" i="4" s="1"/>
  <c r="AG249" i="4" s="1"/>
  <c r="L249" i="2"/>
  <c r="AF248" i="4" s="1"/>
  <c r="AG248" i="4" s="1"/>
  <c r="L248" i="2"/>
  <c r="AF247" i="4" s="1"/>
  <c r="AG247" i="4" s="1"/>
  <c r="L247" i="2"/>
  <c r="AF246" i="4" s="1"/>
  <c r="AG246" i="4" s="1"/>
  <c r="L246" i="2"/>
  <c r="AF245" i="4" s="1"/>
  <c r="AG245" i="4" s="1"/>
  <c r="L245" i="2"/>
  <c r="AF244" i="4" s="1"/>
  <c r="AG244" i="4" s="1"/>
  <c r="L244" i="2"/>
  <c r="AF243" i="4" s="1"/>
  <c r="AG243" i="4" s="1"/>
  <c r="L243" i="2"/>
  <c r="AF242" i="4" s="1"/>
  <c r="AG242" i="4" s="1"/>
  <c r="L242" i="2"/>
  <c r="AF241" i="4" s="1"/>
  <c r="AG241" i="4" s="1"/>
  <c r="L241" i="2"/>
  <c r="AF240" i="4" s="1"/>
  <c r="AG240" i="4" s="1"/>
  <c r="L240" i="2"/>
  <c r="AF239" i="4" s="1"/>
  <c r="AG239" i="4" s="1"/>
  <c r="L239" i="2"/>
  <c r="AF238" i="4" s="1"/>
  <c r="AG238" i="4" s="1"/>
  <c r="L238" i="2"/>
  <c r="AF237" i="4" s="1"/>
  <c r="AG237" i="4" s="1"/>
  <c r="L237" i="2"/>
  <c r="AF236" i="4" s="1"/>
  <c r="AG236" i="4" s="1"/>
  <c r="L236" i="2"/>
  <c r="AF235" i="4" s="1"/>
  <c r="AG235" i="4" s="1"/>
  <c r="L235" i="2"/>
  <c r="AF234" i="4" s="1"/>
  <c r="AG234" i="4" s="1"/>
  <c r="L234" i="2"/>
  <c r="AF233" i="4" s="1"/>
  <c r="AG233" i="4" s="1"/>
  <c r="L233" i="2"/>
  <c r="AF232" i="4" s="1"/>
  <c r="AG232" i="4" s="1"/>
  <c r="L232" i="2"/>
  <c r="AF231" i="4" s="1"/>
  <c r="AG231" i="4" s="1"/>
  <c r="L231" i="2"/>
  <c r="AF230" i="4" s="1"/>
  <c r="AG230" i="4" s="1"/>
  <c r="L230" i="2"/>
  <c r="AF229" i="4" s="1"/>
  <c r="AG229" i="4" s="1"/>
  <c r="L229" i="2"/>
  <c r="AF228" i="4" s="1"/>
  <c r="AG228" i="4" s="1"/>
  <c r="L228" i="2"/>
  <c r="AF227" i="4" s="1"/>
  <c r="AG227" i="4" s="1"/>
  <c r="L227" i="2"/>
  <c r="AF226" i="4" s="1"/>
  <c r="AG226" i="4" s="1"/>
  <c r="L226" i="2"/>
  <c r="AF225" i="4" s="1"/>
  <c r="AG225" i="4" s="1"/>
  <c r="L225" i="2"/>
  <c r="AF224" i="4" s="1"/>
  <c r="AG224" i="4" s="1"/>
  <c r="L224" i="2"/>
  <c r="AF223" i="4" s="1"/>
  <c r="AG223" i="4" s="1"/>
  <c r="L223" i="2"/>
  <c r="AF222" i="4" s="1"/>
  <c r="AG222" i="4" s="1"/>
  <c r="L222" i="2"/>
  <c r="AF221" i="4" s="1"/>
  <c r="AG221" i="4" s="1"/>
  <c r="L221" i="2"/>
  <c r="AF220" i="4" s="1"/>
  <c r="AG220" i="4" s="1"/>
  <c r="L220" i="2"/>
  <c r="AF219" i="4" s="1"/>
  <c r="AG219" i="4" s="1"/>
  <c r="L219" i="2"/>
  <c r="AF218" i="4" s="1"/>
  <c r="AG218" i="4" s="1"/>
  <c r="L218" i="2"/>
  <c r="AF217" i="4" s="1"/>
  <c r="AG217" i="4" s="1"/>
  <c r="L217" i="2"/>
  <c r="AF216" i="4" s="1"/>
  <c r="AG216" i="4" s="1"/>
  <c r="L216" i="2"/>
  <c r="AF215" i="4" s="1"/>
  <c r="AG215" i="4" s="1"/>
  <c r="L215" i="2"/>
  <c r="AF214" i="4" s="1"/>
  <c r="AG214" i="4" s="1"/>
  <c r="L214" i="2"/>
  <c r="AF213" i="4" s="1"/>
  <c r="AG213" i="4" s="1"/>
  <c r="L213" i="2"/>
  <c r="AF212" i="4" s="1"/>
  <c r="AG212" i="4" s="1"/>
  <c r="L212" i="2"/>
  <c r="AF211" i="4" s="1"/>
  <c r="AG211" i="4" s="1"/>
  <c r="L211" i="2"/>
  <c r="AF210" i="4" s="1"/>
  <c r="AG210" i="4" s="1"/>
  <c r="L210" i="2"/>
  <c r="AF209" i="4" s="1"/>
  <c r="AG209" i="4" s="1"/>
  <c r="L209" i="2"/>
  <c r="AF208" i="4" s="1"/>
  <c r="AG208" i="4" s="1"/>
  <c r="L208" i="2"/>
  <c r="AF207" i="4" s="1"/>
  <c r="AG207" i="4" s="1"/>
  <c r="L207" i="2"/>
  <c r="AF206" i="4" s="1"/>
  <c r="AG206" i="4" s="1"/>
  <c r="L206" i="2"/>
  <c r="AF205" i="4" s="1"/>
  <c r="AG205" i="4" s="1"/>
  <c r="L205" i="2"/>
  <c r="AF204" i="4" s="1"/>
  <c r="AG204" i="4" s="1"/>
  <c r="L204" i="2"/>
  <c r="AF203" i="4" s="1"/>
  <c r="AG203" i="4" s="1"/>
  <c r="L203" i="2"/>
  <c r="AF202" i="4" s="1"/>
  <c r="AG202" i="4" s="1"/>
  <c r="L202" i="2"/>
  <c r="AF201" i="4" s="1"/>
  <c r="AG201" i="4" s="1"/>
  <c r="L201" i="2"/>
  <c r="AF200" i="4" s="1"/>
  <c r="AG200" i="4" s="1"/>
  <c r="L200" i="2"/>
  <c r="AF199" i="4" s="1"/>
  <c r="AG199" i="4" s="1"/>
  <c r="L199" i="2"/>
  <c r="AF198" i="4" s="1"/>
  <c r="AG198" i="4" s="1"/>
  <c r="L198" i="2"/>
  <c r="AF197" i="4" s="1"/>
  <c r="AG197" i="4" s="1"/>
  <c r="L197" i="2"/>
  <c r="AF196" i="4" s="1"/>
  <c r="AG196" i="4" s="1"/>
  <c r="L196" i="2"/>
  <c r="AF195" i="4" s="1"/>
  <c r="AG195" i="4" s="1"/>
  <c r="L195" i="2"/>
  <c r="AF194" i="4" s="1"/>
  <c r="AG194" i="4" s="1"/>
  <c r="L194" i="2"/>
  <c r="AF193" i="4" s="1"/>
  <c r="AG193" i="4" s="1"/>
  <c r="L193" i="2"/>
  <c r="AF192" i="4" s="1"/>
  <c r="AG192" i="4" s="1"/>
  <c r="L192" i="2"/>
  <c r="AF191" i="4" s="1"/>
  <c r="AG191" i="4" s="1"/>
  <c r="L191" i="2"/>
  <c r="AF190" i="4" s="1"/>
  <c r="AG190" i="4" s="1"/>
  <c r="L190" i="2"/>
  <c r="AF189" i="4" s="1"/>
  <c r="AG189" i="4" s="1"/>
  <c r="L189" i="2"/>
  <c r="AF188" i="4" s="1"/>
  <c r="AG188" i="4" s="1"/>
  <c r="L188" i="2"/>
  <c r="AF187" i="4" s="1"/>
  <c r="AG187" i="4" s="1"/>
  <c r="L187" i="2"/>
  <c r="AF186" i="4" s="1"/>
  <c r="AG186" i="4" s="1"/>
  <c r="L186" i="2"/>
  <c r="AF185" i="4" s="1"/>
  <c r="AG185" i="4" s="1"/>
  <c r="L185" i="2"/>
  <c r="AF184" i="4" s="1"/>
  <c r="AG184" i="4" s="1"/>
  <c r="L184" i="2"/>
  <c r="AF183" i="4" s="1"/>
  <c r="AG183" i="4" s="1"/>
  <c r="L183" i="2"/>
  <c r="AF182" i="4" s="1"/>
  <c r="AG182" i="4" s="1"/>
  <c r="L182" i="2"/>
  <c r="AF181" i="4" s="1"/>
  <c r="AG181" i="4" s="1"/>
  <c r="L181" i="2"/>
  <c r="AF180" i="4" s="1"/>
  <c r="AG180" i="4" s="1"/>
  <c r="L180" i="2"/>
  <c r="AF179" i="4" s="1"/>
  <c r="AG179" i="4" s="1"/>
  <c r="L179" i="2"/>
  <c r="AF178" i="4" s="1"/>
  <c r="AG178" i="4" s="1"/>
  <c r="L178" i="2"/>
  <c r="AF177" i="4" s="1"/>
  <c r="AG177" i="4" s="1"/>
  <c r="L177" i="2"/>
  <c r="AF176" i="4" s="1"/>
  <c r="AG176" i="4" s="1"/>
  <c r="L176" i="2"/>
  <c r="AF175" i="4" s="1"/>
  <c r="AG175" i="4" s="1"/>
  <c r="L175" i="2"/>
  <c r="AF174" i="4" s="1"/>
  <c r="AG174" i="4" s="1"/>
  <c r="L174" i="2"/>
  <c r="AF173" i="4" s="1"/>
  <c r="AG173" i="4" s="1"/>
  <c r="L173" i="2"/>
  <c r="AF172" i="4" s="1"/>
  <c r="AG172" i="4" s="1"/>
  <c r="L172" i="2"/>
  <c r="AF171" i="4" s="1"/>
  <c r="AG171" i="4" s="1"/>
  <c r="L171" i="2"/>
  <c r="AF170" i="4" s="1"/>
  <c r="AG170" i="4" s="1"/>
  <c r="L170" i="2"/>
  <c r="AF169" i="4" s="1"/>
  <c r="AG169" i="4" s="1"/>
  <c r="L169" i="2"/>
  <c r="AF168" i="4" s="1"/>
  <c r="AG168" i="4" s="1"/>
  <c r="L168" i="2"/>
  <c r="AF167" i="4" s="1"/>
  <c r="AG167" i="4" s="1"/>
  <c r="L167" i="2"/>
  <c r="AF166" i="4" s="1"/>
  <c r="AG166" i="4" s="1"/>
  <c r="L166" i="2"/>
  <c r="AF165" i="4" s="1"/>
  <c r="AG165" i="4" s="1"/>
  <c r="L165" i="2"/>
  <c r="AF164" i="4" s="1"/>
  <c r="AG164" i="4" s="1"/>
  <c r="L164" i="2"/>
  <c r="AF163" i="4" s="1"/>
  <c r="AG163" i="4" s="1"/>
  <c r="L163" i="2"/>
  <c r="AF162" i="4" s="1"/>
  <c r="AG162" i="4" s="1"/>
  <c r="L162" i="2"/>
  <c r="AF161" i="4" s="1"/>
  <c r="AG161" i="4" s="1"/>
  <c r="L161" i="2"/>
  <c r="AF160" i="4" s="1"/>
  <c r="AG160" i="4" s="1"/>
  <c r="L160" i="2"/>
  <c r="AF159" i="4" s="1"/>
  <c r="AG159" i="4" s="1"/>
  <c r="L159" i="2"/>
  <c r="AF158" i="4" s="1"/>
  <c r="AG158" i="4" s="1"/>
  <c r="L158" i="2"/>
  <c r="AF157" i="4" s="1"/>
  <c r="AG157" i="4" s="1"/>
  <c r="L157" i="2"/>
  <c r="AF156" i="4" s="1"/>
  <c r="AG156" i="4" s="1"/>
  <c r="L156" i="2"/>
  <c r="AF155" i="4" s="1"/>
  <c r="AG155" i="4" s="1"/>
  <c r="L155" i="2"/>
  <c r="AF154" i="4" s="1"/>
  <c r="AG154" i="4" s="1"/>
  <c r="L154" i="2"/>
  <c r="AF153" i="4" s="1"/>
  <c r="AG153" i="4" s="1"/>
  <c r="L153" i="2"/>
  <c r="AF152" i="4" s="1"/>
  <c r="AG152" i="4" s="1"/>
  <c r="L152" i="2"/>
  <c r="AF151" i="4" s="1"/>
  <c r="AG151" i="4" s="1"/>
  <c r="L151" i="2"/>
  <c r="AF150" i="4" s="1"/>
  <c r="AG150" i="4" s="1"/>
  <c r="L150" i="2"/>
  <c r="AF149" i="4" s="1"/>
  <c r="AG149" i="4" s="1"/>
  <c r="L149" i="2"/>
  <c r="AF148" i="4" s="1"/>
  <c r="AG148" i="4" s="1"/>
  <c r="L148" i="2"/>
  <c r="AF147" i="4" s="1"/>
  <c r="AG147" i="4" s="1"/>
  <c r="L147" i="2"/>
  <c r="AF146" i="4" s="1"/>
  <c r="AG146" i="4" s="1"/>
  <c r="L146" i="2"/>
  <c r="AF145" i="4" s="1"/>
  <c r="AG145" i="4" s="1"/>
  <c r="L145" i="2"/>
  <c r="AF144" i="4" s="1"/>
  <c r="AG144" i="4" s="1"/>
  <c r="L144" i="2"/>
  <c r="AF143" i="4" s="1"/>
  <c r="AG143" i="4" s="1"/>
  <c r="L143" i="2"/>
  <c r="AF142" i="4" s="1"/>
  <c r="AG142" i="4" s="1"/>
  <c r="L142" i="2"/>
  <c r="AF141" i="4" s="1"/>
  <c r="AG141" i="4" s="1"/>
  <c r="L141" i="2"/>
  <c r="AF140" i="4" s="1"/>
  <c r="AG140" i="4" s="1"/>
  <c r="L140" i="2"/>
  <c r="AF139" i="4" s="1"/>
  <c r="AG139" i="4" s="1"/>
  <c r="L139" i="2"/>
  <c r="AF138" i="4" s="1"/>
  <c r="AG138" i="4" s="1"/>
  <c r="L138" i="2"/>
  <c r="AF137" i="4" s="1"/>
  <c r="AG137" i="4" s="1"/>
  <c r="L137" i="2"/>
  <c r="AF136" i="4" s="1"/>
  <c r="AG136" i="4" s="1"/>
  <c r="L136" i="2"/>
  <c r="AF135" i="4" s="1"/>
  <c r="AG135" i="4" s="1"/>
  <c r="L135" i="2"/>
  <c r="AF134" i="4" s="1"/>
  <c r="AG134" i="4" s="1"/>
  <c r="L134" i="2"/>
  <c r="AF133" i="4" s="1"/>
  <c r="AG133" i="4" s="1"/>
  <c r="L133" i="2"/>
  <c r="AF132" i="4" s="1"/>
  <c r="AG132" i="4" s="1"/>
  <c r="L132" i="2"/>
  <c r="AF131" i="4" s="1"/>
  <c r="AG131" i="4" s="1"/>
  <c r="L131" i="2"/>
  <c r="AF130" i="4" s="1"/>
  <c r="AG130" i="4" s="1"/>
  <c r="L130" i="2"/>
  <c r="AF129" i="4" s="1"/>
  <c r="AG129" i="4" s="1"/>
  <c r="L129" i="2"/>
  <c r="AF128" i="4" s="1"/>
  <c r="AG128" i="4" s="1"/>
  <c r="L128" i="2"/>
  <c r="AF127" i="4" s="1"/>
  <c r="AG127" i="4" s="1"/>
  <c r="L127" i="2"/>
  <c r="AF126" i="4" s="1"/>
  <c r="AG126" i="4" s="1"/>
  <c r="L126" i="2"/>
  <c r="AF125" i="4" s="1"/>
  <c r="AG125" i="4" s="1"/>
  <c r="L125" i="2"/>
  <c r="AF124" i="4" s="1"/>
  <c r="AG124" i="4" s="1"/>
  <c r="L124" i="2"/>
  <c r="AF123" i="4" s="1"/>
  <c r="AG123" i="4" s="1"/>
  <c r="L123" i="2"/>
  <c r="AF122" i="4" s="1"/>
  <c r="AG122" i="4" s="1"/>
  <c r="L122" i="2"/>
  <c r="AF121" i="4" s="1"/>
  <c r="AG121" i="4" s="1"/>
  <c r="L121" i="2"/>
  <c r="AF120" i="4" s="1"/>
  <c r="AG120" i="4" s="1"/>
  <c r="L120" i="2"/>
  <c r="AF119" i="4" s="1"/>
  <c r="AG119" i="4" s="1"/>
  <c r="L119" i="2"/>
  <c r="AF118" i="4" s="1"/>
  <c r="AG118" i="4" s="1"/>
  <c r="L118" i="2"/>
  <c r="AF117" i="4" s="1"/>
  <c r="AG117" i="4" s="1"/>
  <c r="L117" i="2"/>
  <c r="AF116" i="4" s="1"/>
  <c r="AG116" i="4" s="1"/>
  <c r="L116" i="2"/>
  <c r="AF115" i="4" s="1"/>
  <c r="AG115" i="4" s="1"/>
  <c r="L115" i="2"/>
  <c r="AF114" i="4" s="1"/>
  <c r="AG114" i="4" s="1"/>
  <c r="L114" i="2"/>
  <c r="AF113" i="4" s="1"/>
  <c r="AG113" i="4" s="1"/>
  <c r="L113" i="2"/>
  <c r="AF112" i="4" s="1"/>
  <c r="AG112" i="4" s="1"/>
  <c r="L112" i="2"/>
  <c r="AF111" i="4" s="1"/>
  <c r="AG111" i="4" s="1"/>
  <c r="L111" i="2"/>
  <c r="AF110" i="4" s="1"/>
  <c r="AG110" i="4" s="1"/>
  <c r="L110" i="2"/>
  <c r="AF109" i="4" s="1"/>
  <c r="AG109" i="4" s="1"/>
  <c r="L109" i="2"/>
  <c r="AF108" i="4" s="1"/>
  <c r="AG108" i="4" s="1"/>
  <c r="L108" i="2"/>
  <c r="AF107" i="4" s="1"/>
  <c r="AG107" i="4" s="1"/>
  <c r="L107" i="2"/>
  <c r="AF106" i="4" s="1"/>
  <c r="AG106" i="4" s="1"/>
  <c r="L106" i="2"/>
  <c r="AF105" i="4" s="1"/>
  <c r="AG105" i="4" s="1"/>
  <c r="L105" i="2"/>
  <c r="AF104" i="4" s="1"/>
  <c r="AG104" i="4" s="1"/>
  <c r="L104" i="2"/>
  <c r="AF103" i="4" s="1"/>
  <c r="AG103" i="4" s="1"/>
  <c r="L103" i="2"/>
  <c r="AF102" i="4" s="1"/>
  <c r="AG102" i="4" s="1"/>
  <c r="L102" i="2"/>
  <c r="AF101" i="4" s="1"/>
  <c r="AG101" i="4" s="1"/>
  <c r="L101" i="2"/>
  <c r="AF100" i="4" s="1"/>
  <c r="AG100" i="4" s="1"/>
  <c r="L100" i="2"/>
  <c r="AF99" i="4" s="1"/>
  <c r="AG99" i="4" s="1"/>
  <c r="L99" i="2"/>
  <c r="AF98" i="4" s="1"/>
  <c r="AG98" i="4" s="1"/>
  <c r="L98" i="2"/>
  <c r="AF97" i="4" s="1"/>
  <c r="AG97" i="4" s="1"/>
  <c r="L97" i="2"/>
  <c r="AF96" i="4" s="1"/>
  <c r="AG96" i="4" s="1"/>
  <c r="L96" i="2"/>
  <c r="AF95" i="4" s="1"/>
  <c r="L95" i="2"/>
  <c r="AF94" i="4" s="1"/>
  <c r="L94" i="2"/>
  <c r="AF93" i="4" s="1"/>
  <c r="L93" i="2"/>
  <c r="AF92" i="4" s="1"/>
  <c r="L92" i="2"/>
  <c r="AF91" i="4" s="1"/>
  <c r="L91" i="2"/>
  <c r="AF90" i="4" s="1"/>
  <c r="L90" i="2"/>
  <c r="AF89" i="4" s="1"/>
  <c r="AG89" i="4" s="1"/>
  <c r="L89" i="2"/>
  <c r="AF88" i="4" s="1"/>
  <c r="AG88" i="4" s="1"/>
  <c r="L88" i="2"/>
  <c r="AF87" i="4" s="1"/>
  <c r="L87" i="2"/>
  <c r="AF86" i="4" s="1"/>
  <c r="L86" i="2"/>
  <c r="AF85" i="4" s="1"/>
  <c r="L85" i="2"/>
  <c r="AF84" i="4" s="1"/>
  <c r="L84" i="2"/>
  <c r="AF83" i="4" s="1"/>
  <c r="L83" i="2"/>
  <c r="AF82" i="4" s="1"/>
  <c r="L82" i="2"/>
  <c r="AF81" i="4" s="1"/>
  <c r="AG81" i="4" s="1"/>
  <c r="L81" i="2"/>
  <c r="AF80" i="4" s="1"/>
  <c r="L80" i="2"/>
  <c r="AF79" i="4" s="1"/>
  <c r="L79" i="2"/>
  <c r="AF78" i="4" s="1"/>
  <c r="L78" i="2"/>
  <c r="AF77" i="4" s="1"/>
  <c r="AG77" i="4" s="1"/>
  <c r="L77" i="2"/>
  <c r="AF76" i="4" s="1"/>
  <c r="AG76" i="4" s="1"/>
  <c r="L76" i="2"/>
  <c r="AF75" i="4" s="1"/>
  <c r="AG75" i="4" s="1"/>
  <c r="L75" i="2"/>
  <c r="AF74" i="4" s="1"/>
  <c r="AG74" i="4" s="1"/>
  <c r="L74" i="2"/>
  <c r="AF73" i="4" s="1"/>
  <c r="AG73" i="4" s="1"/>
  <c r="L73" i="2"/>
  <c r="AF72" i="4" s="1"/>
  <c r="AG72" i="4" s="1"/>
  <c r="L72" i="2"/>
  <c r="AF71" i="4" s="1"/>
  <c r="AG71" i="4" s="1"/>
  <c r="L71" i="2"/>
  <c r="AF70" i="4" s="1"/>
  <c r="AG70" i="4" s="1"/>
  <c r="L70" i="2"/>
  <c r="AF69" i="4" s="1"/>
  <c r="AG69" i="4" s="1"/>
  <c r="L69" i="2"/>
  <c r="AF68" i="4" s="1"/>
  <c r="AG68" i="4" s="1"/>
  <c r="L68" i="2"/>
  <c r="AF67" i="4" s="1"/>
  <c r="AG67" i="4" s="1"/>
  <c r="L67" i="2"/>
  <c r="AF66" i="4" s="1"/>
  <c r="AG66" i="4" s="1"/>
  <c r="L66" i="2"/>
  <c r="AF65" i="4" s="1"/>
  <c r="AG65" i="4" s="1"/>
  <c r="L65" i="2"/>
  <c r="AF64" i="4" s="1"/>
  <c r="AG64" i="4" s="1"/>
  <c r="L64" i="2"/>
  <c r="AF63" i="4" s="1"/>
  <c r="AG63" i="4" s="1"/>
  <c r="L63" i="2"/>
  <c r="AF62" i="4" s="1"/>
  <c r="AG62" i="4" s="1"/>
  <c r="L62" i="2"/>
  <c r="AF61" i="4" s="1"/>
  <c r="AG61" i="4" s="1"/>
  <c r="L61" i="2"/>
  <c r="AF60" i="4" s="1"/>
  <c r="AG60" i="4" s="1"/>
  <c r="L60" i="2"/>
  <c r="AF59" i="4" s="1"/>
  <c r="AG59" i="4" s="1"/>
  <c r="L59" i="2"/>
  <c r="AF58" i="4" s="1"/>
  <c r="AG58" i="4" s="1"/>
  <c r="L58" i="2"/>
  <c r="AF57" i="4" s="1"/>
  <c r="AG57" i="4" s="1"/>
  <c r="L57" i="2"/>
  <c r="AF56" i="4" s="1"/>
  <c r="AG56" i="4" s="1"/>
  <c r="L56" i="2"/>
  <c r="AF55" i="4" s="1"/>
  <c r="AG55" i="4" s="1"/>
  <c r="L55" i="2"/>
  <c r="AF54" i="4" s="1"/>
  <c r="AG54" i="4" s="1"/>
  <c r="L54" i="2"/>
  <c r="AF53" i="4" s="1"/>
  <c r="AG53" i="4" s="1"/>
  <c r="L53" i="2"/>
  <c r="AF52" i="4" s="1"/>
  <c r="AG52" i="4" s="1"/>
  <c r="L52" i="2"/>
  <c r="AF51" i="4" s="1"/>
  <c r="AG51" i="4" s="1"/>
  <c r="L51" i="2"/>
  <c r="AF50" i="4" s="1"/>
  <c r="AG50" i="4" s="1"/>
  <c r="L50" i="2"/>
  <c r="AF49" i="4" s="1"/>
  <c r="AG49" i="4" s="1"/>
  <c r="L49" i="2"/>
  <c r="AF48" i="4" s="1"/>
  <c r="AG48" i="4" s="1"/>
  <c r="L48" i="2"/>
  <c r="AF47" i="4" s="1"/>
  <c r="AG47" i="4" s="1"/>
  <c r="L47" i="2"/>
  <c r="AF46" i="4" s="1"/>
  <c r="AG46" i="4" s="1"/>
  <c r="L46" i="2"/>
  <c r="AF45" i="4" s="1"/>
  <c r="AG45" i="4" s="1"/>
  <c r="L45" i="2"/>
  <c r="AF44" i="4" s="1"/>
  <c r="AG44" i="4" s="1"/>
  <c r="L44" i="2"/>
  <c r="AF43" i="4" s="1"/>
  <c r="AG43" i="4" s="1"/>
  <c r="L43" i="2"/>
  <c r="AF42" i="4" s="1"/>
  <c r="AG42" i="4" s="1"/>
  <c r="L42" i="2"/>
  <c r="AF41" i="4" s="1"/>
  <c r="AG41" i="4" s="1"/>
  <c r="L41" i="2"/>
  <c r="AF40" i="4" s="1"/>
  <c r="AG40" i="4" s="1"/>
  <c r="L40" i="2"/>
  <c r="AF39" i="4" s="1"/>
  <c r="AG39" i="4" s="1"/>
  <c r="L39" i="2"/>
  <c r="AF38" i="4" s="1"/>
  <c r="L38" i="2"/>
  <c r="AF37" i="4" s="1"/>
  <c r="L37" i="2"/>
  <c r="AF36" i="4" s="1"/>
  <c r="L36" i="2"/>
  <c r="AF35" i="4" s="1"/>
  <c r="AG35" i="4" s="1"/>
  <c r="L35" i="2"/>
  <c r="AF34" i="4" s="1"/>
  <c r="L34" i="2"/>
  <c r="AF33" i="4" s="1"/>
  <c r="AG33" i="4" s="1"/>
  <c r="L33" i="2"/>
  <c r="AF32" i="4" s="1"/>
  <c r="L32" i="2"/>
  <c r="AF31" i="4" s="1"/>
  <c r="L31" i="2"/>
  <c r="AF30" i="4" s="1"/>
  <c r="L30" i="2"/>
  <c r="AF29" i="4" s="1"/>
  <c r="AG29" i="4" s="1"/>
  <c r="L29" i="2"/>
  <c r="AF28" i="4" s="1"/>
  <c r="AG28" i="4" s="1"/>
  <c r="L28" i="2"/>
  <c r="AF27" i="4" s="1"/>
  <c r="AG27" i="4" s="1"/>
  <c r="L27" i="2"/>
  <c r="AF26" i="4" s="1"/>
  <c r="L26" i="2"/>
  <c r="AF25" i="4" s="1"/>
  <c r="L25" i="2"/>
  <c r="AF24" i="4" s="1"/>
  <c r="L24" i="2"/>
  <c r="AF23" i="4" s="1"/>
  <c r="AG23" i="4" s="1"/>
  <c r="L23" i="2"/>
  <c r="AF22" i="4" s="1"/>
  <c r="L22" i="2"/>
  <c r="AF21" i="4" s="1"/>
  <c r="AG21" i="4" s="1"/>
  <c r="L21" i="2"/>
  <c r="AF20" i="4" s="1"/>
  <c r="L20" i="2"/>
  <c r="AF19" i="4" s="1"/>
  <c r="L19" i="2"/>
  <c r="AF18" i="4" s="1"/>
  <c r="L18" i="2"/>
  <c r="AF17" i="4" s="1"/>
  <c r="AG17" i="4" s="1"/>
  <c r="L17" i="2"/>
  <c r="AF16" i="4" s="1"/>
  <c r="AG16" i="4" s="1"/>
  <c r="L16" i="2"/>
  <c r="AF15" i="4" s="1"/>
  <c r="AG15" i="4" s="1"/>
  <c r="L13" i="2"/>
  <c r="AF12" i="4" s="1"/>
  <c r="L12" i="2"/>
  <c r="AF11" i="4" s="1"/>
  <c r="L11" i="2"/>
  <c r="AF10" i="4" s="1"/>
  <c r="K259" i="2"/>
  <c r="L9" i="2"/>
  <c r="AF8" i="4" s="1"/>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E33" i="28"/>
  <c r="AB22" i="3" s="1"/>
  <c r="E32" i="28"/>
  <c r="AA22" i="3" s="1"/>
  <c r="E31" i="28"/>
  <c r="Z22" i="3" s="1"/>
  <c r="E30" i="28"/>
  <c r="Y22" i="3" s="1"/>
  <c r="E29" i="28"/>
  <c r="X22" i="3" s="1"/>
  <c r="U67" i="10" l="1"/>
  <c r="S67" i="10"/>
  <c r="R67" i="10"/>
  <c r="Q68" i="10"/>
  <c r="T66" i="10"/>
  <c r="V66" i="10"/>
  <c r="AG86" i="4"/>
  <c r="AG83" i="4"/>
  <c r="AG95" i="4"/>
  <c r="AG78" i="4"/>
  <c r="AG90" i="4"/>
  <c r="AG22" i="4"/>
  <c r="AG87" i="4"/>
  <c r="AG93" i="4"/>
  <c r="AG80" i="4"/>
  <c r="AG92" i="4"/>
  <c r="AG82" i="4"/>
  <c r="AG94" i="4"/>
  <c r="AG91" i="4"/>
  <c r="AG84" i="4"/>
  <c r="AG79" i="4"/>
  <c r="AG85" i="4"/>
  <c r="AG30" i="4"/>
  <c r="AG18" i="4"/>
  <c r="AG25" i="4"/>
  <c r="AG26" i="4"/>
  <c r="AG38" i="4"/>
  <c r="AG19" i="4"/>
  <c r="AG34" i="4"/>
  <c r="AG31" i="4"/>
  <c r="AG32" i="4"/>
  <c r="AG20" i="4"/>
  <c r="AG24" i="4"/>
  <c r="AG36" i="4"/>
  <c r="AG37" i="4"/>
  <c r="AG12" i="4"/>
  <c r="AG10" i="4"/>
  <c r="AG11" i="4"/>
  <c r="Z258" i="4"/>
  <c r="AE8" i="4"/>
  <c r="AE258" i="4" s="1"/>
  <c r="L10" i="2"/>
  <c r="AF9" i="4" s="1"/>
  <c r="J259" i="2"/>
  <c r="D10" i="29"/>
  <c r="D9" i="29"/>
  <c r="T67" i="10" l="1"/>
  <c r="V67" i="10"/>
  <c r="U68" i="10"/>
  <c r="Q69" i="10"/>
  <c r="R68" i="10"/>
  <c r="S68" i="10"/>
  <c r="G35" i="8"/>
  <c r="J35" i="8" s="1"/>
  <c r="AG8" i="4"/>
  <c r="AF258" i="4"/>
  <c r="AG258" i="4" s="1"/>
  <c r="AG9" i="4"/>
  <c r="L259" i="2"/>
  <c r="E9" i="28"/>
  <c r="D22" i="3" s="1"/>
  <c r="D11" i="29"/>
  <c r="E10" i="28"/>
  <c r="E22" i="3" s="1"/>
  <c r="A263" i="2"/>
  <c r="T68" i="10" l="1"/>
  <c r="V68" i="10"/>
  <c r="U69" i="10"/>
  <c r="Q70" i="10"/>
  <c r="R69" i="10"/>
  <c r="S69" i="10"/>
  <c r="E11" i="28"/>
  <c r="F22" i="3" s="1"/>
  <c r="D12" i="29"/>
  <c r="T69" i="10" l="1"/>
  <c r="V69" i="10"/>
  <c r="U70" i="10"/>
  <c r="S70" i="10"/>
  <c r="R70" i="10"/>
  <c r="Q71" i="10"/>
  <c r="E12" i="28"/>
  <c r="G22" i="3" s="1"/>
  <c r="D13" i="29"/>
  <c r="U71" i="10" l="1"/>
  <c r="S71" i="10"/>
  <c r="Q72" i="10"/>
  <c r="R71" i="10"/>
  <c r="T70" i="10"/>
  <c r="V70" i="10"/>
  <c r="D14" i="29"/>
  <c r="E13" i="28"/>
  <c r="H22" i="3" s="1"/>
  <c r="B38" i="8"/>
  <c r="B19" i="3"/>
  <c r="D5" i="4"/>
  <c r="A265" i="4"/>
  <c r="B20" i="3"/>
  <c r="B18" i="3"/>
  <c r="B15" i="3"/>
  <c r="A50" i="8"/>
  <c r="B10" i="8"/>
  <c r="G26" i="8"/>
  <c r="G32" i="8"/>
  <c r="D7" i="10" s="1"/>
  <c r="B18" i="10" s="1"/>
  <c r="C30" i="8"/>
  <c r="D5" i="10" s="1"/>
  <c r="A41" i="5"/>
  <c r="A40" i="5"/>
  <c r="B5" i="12"/>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D5" i="12"/>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E5" i="12"/>
  <c r="E6" i="12" s="1"/>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F5" i="12"/>
  <c r="F6" i="12" s="1"/>
  <c r="F7" i="12" s="1"/>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G5" i="12"/>
  <c r="G6" i="12" s="1"/>
  <c r="G7" i="12" s="1"/>
  <c r="G8" i="12" s="1"/>
  <c r="G9" i="12" s="1"/>
  <c r="G10" i="12" s="1"/>
  <c r="G11" i="12" s="1"/>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H5" i="12"/>
  <c r="H6" i="12" s="1"/>
  <c r="H7" i="12" s="1"/>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I5" i="12"/>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I37" i="12" s="1"/>
  <c r="I38" i="12" s="1"/>
  <c r="I39" i="12" s="1"/>
  <c r="I40" i="12" s="1"/>
  <c r="I41" i="12" s="1"/>
  <c r="I42" i="12" s="1"/>
  <c r="I43" i="12" s="1"/>
  <c r="I44" i="12" s="1"/>
  <c r="F18" i="19"/>
  <c r="F17" i="19"/>
  <c r="F8" i="19"/>
  <c r="G8" i="19" s="1"/>
  <c r="A272" i="2"/>
  <c r="A30" i="19" s="1"/>
  <c r="A271" i="2"/>
  <c r="A32" i="3" s="1"/>
  <c r="D10" i="27"/>
  <c r="D10" i="26"/>
  <c r="D10" i="25"/>
  <c r="O16" i="27"/>
  <c r="N16" i="27"/>
  <c r="A18" i="27"/>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O16" i="26"/>
  <c r="N16" i="26"/>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O16" i="25"/>
  <c r="N16" i="25"/>
  <c r="A18" i="25"/>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G5" i="19"/>
  <c r="D18" i="3"/>
  <c r="E18" i="3"/>
  <c r="E20" i="3" s="1"/>
  <c r="E21" i="3" s="1"/>
  <c r="F18" i="3"/>
  <c r="F20" i="3" s="1"/>
  <c r="F21" i="3" s="1"/>
  <c r="G18" i="3"/>
  <c r="G20" i="3" s="1"/>
  <c r="G21" i="3" s="1"/>
  <c r="H18" i="3"/>
  <c r="H20" i="3" s="1"/>
  <c r="H21" i="3" s="1"/>
  <c r="I18" i="3"/>
  <c r="I20" i="3" s="1"/>
  <c r="I21" i="3" s="1"/>
  <c r="J18" i="3"/>
  <c r="J20" i="3" s="1"/>
  <c r="J21" i="3" s="1"/>
  <c r="K18" i="3"/>
  <c r="K20" i="3" s="1"/>
  <c r="K21" i="3" s="1"/>
  <c r="L18" i="3"/>
  <c r="L20" i="3" s="1"/>
  <c r="L21" i="3" s="1"/>
  <c r="M18" i="3"/>
  <c r="M20" i="3" s="1"/>
  <c r="M21" i="3" s="1"/>
  <c r="N18" i="3"/>
  <c r="N20" i="3" s="1"/>
  <c r="N21" i="3" s="1"/>
  <c r="O18" i="3"/>
  <c r="O20" i="3" s="1"/>
  <c r="O21" i="3" s="1"/>
  <c r="P18" i="3"/>
  <c r="P20" i="3" s="1"/>
  <c r="P21" i="3" s="1"/>
  <c r="Q18" i="3"/>
  <c r="Q20" i="3" s="1"/>
  <c r="Q21" i="3" s="1"/>
  <c r="R18" i="3"/>
  <c r="R20" i="3" s="1"/>
  <c r="R21" i="3" s="1"/>
  <c r="S18" i="3"/>
  <c r="S20" i="3" s="1"/>
  <c r="T18" i="3"/>
  <c r="T20" i="3" s="1"/>
  <c r="T21" i="3" s="1"/>
  <c r="U18" i="3"/>
  <c r="U20" i="3" s="1"/>
  <c r="U21" i="3" s="1"/>
  <c r="V18" i="3"/>
  <c r="V20" i="3" s="1"/>
  <c r="V21" i="3" s="1"/>
  <c r="W18" i="3"/>
  <c r="W20" i="3" s="1"/>
  <c r="W21" i="3" s="1"/>
  <c r="X18" i="3"/>
  <c r="X20" i="3" s="1"/>
  <c r="X21" i="3" s="1"/>
  <c r="Y18" i="3"/>
  <c r="Y20" i="3" s="1"/>
  <c r="Y21" i="3" s="1"/>
  <c r="Z18" i="3"/>
  <c r="Z20" i="3" s="1"/>
  <c r="Z21" i="3" s="1"/>
  <c r="AA18" i="3"/>
  <c r="AA20" i="3" s="1"/>
  <c r="AA21" i="3" s="1"/>
  <c r="AB18" i="3"/>
  <c r="AB20" i="3" s="1"/>
  <c r="AB21" i="3" s="1"/>
  <c r="A62" i="23"/>
  <c r="A52" i="11"/>
  <c r="A64" i="21"/>
  <c r="AH8" i="4"/>
  <c r="AH9" i="4"/>
  <c r="AH11" i="4"/>
  <c r="AH12" i="4"/>
  <c r="AH13"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J18" i="10"/>
  <c r="J19" i="10" s="1"/>
  <c r="J20" i="10" s="1"/>
  <c r="J21" i="10" s="1"/>
  <c r="J22" i="10" s="1"/>
  <c r="J23" i="10" s="1"/>
  <c r="J24" i="10" s="1"/>
  <c r="J25" i="10" s="1"/>
  <c r="J26" i="10" s="1"/>
  <c r="J27" i="10" s="1"/>
  <c r="J28" i="10" s="1"/>
  <c r="J29" i="10" s="1"/>
  <c r="J30" i="10" s="1"/>
  <c r="J31" i="10" s="1"/>
  <c r="J32" i="10" s="1"/>
  <c r="J33" i="10" s="1"/>
  <c r="J34" i="10" s="1"/>
  <c r="J35" i="10" s="1"/>
  <c r="J36" i="10" s="1"/>
  <c r="J37" i="10" s="1"/>
  <c r="J38" i="10" s="1"/>
  <c r="J39" i="10" s="1"/>
  <c r="J40" i="10" s="1"/>
  <c r="J41" i="10" s="1"/>
  <c r="J42" i="10" s="1"/>
  <c r="J43" i="10" s="1"/>
  <c r="J44" i="10" s="1"/>
  <c r="J45" i="10" s="1"/>
  <c r="J46" i="10" s="1"/>
  <c r="J47" i="10" s="1"/>
  <c r="J48" i="10" s="1"/>
  <c r="J49" i="10" s="1"/>
  <c r="J50" i="10" s="1"/>
  <c r="J51" i="10" s="1"/>
  <c r="J52" i="10" s="1"/>
  <c r="J53" i="10" s="1"/>
  <c r="J54" i="10" s="1"/>
  <c r="J55" i="10" s="1"/>
  <c r="J56" i="10" s="1"/>
  <c r="A53" i="11"/>
  <c r="H18" i="19"/>
  <c r="H17" i="19"/>
  <c r="H16" i="19"/>
  <c r="B2" i="10"/>
  <c r="B2" i="25" s="1"/>
  <c r="B2" i="26" s="1"/>
  <c r="B2" i="27" s="1"/>
  <c r="A2" i="10"/>
  <c r="A2" i="25" s="1"/>
  <c r="A2" i="26" s="1"/>
  <c r="A2" i="27" s="1"/>
  <c r="A1" i="8"/>
  <c r="I5" i="4"/>
  <c r="H5" i="4"/>
  <c r="X5" i="4"/>
  <c r="V5" i="4"/>
  <c r="W5" i="4"/>
  <c r="U5" i="4"/>
  <c r="O16" i="10"/>
  <c r="N16" i="10"/>
  <c r="H8" i="19"/>
  <c r="H19" i="19"/>
  <c r="D20" i="3" l="1"/>
  <c r="AR20" i="3" s="1"/>
  <c r="AR18" i="3"/>
  <c r="T71" i="10"/>
  <c r="V71" i="10"/>
  <c r="U72" i="10"/>
  <c r="S72" i="10"/>
  <c r="R72" i="10"/>
  <c r="L50" i="10"/>
  <c r="L43" i="10"/>
  <c r="L51" i="10"/>
  <c r="L44" i="10"/>
  <c r="L45" i="10"/>
  <c r="L53" i="10"/>
  <c r="L54" i="10"/>
  <c r="L56" i="10"/>
  <c r="L52" i="10"/>
  <c r="L46" i="10"/>
  <c r="L47" i="10"/>
  <c r="L55" i="10"/>
  <c r="L48" i="10"/>
  <c r="L42" i="10"/>
  <c r="L49" i="10"/>
  <c r="B31" i="12"/>
  <c r="A268" i="4"/>
  <c r="A269" i="30"/>
  <c r="A33" i="3"/>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D5" i="27"/>
  <c r="D5" i="26"/>
  <c r="D5" i="25"/>
  <c r="F11" i="19"/>
  <c r="F12" i="19"/>
  <c r="F10" i="19"/>
  <c r="F15" i="19"/>
  <c r="F9" i="19"/>
  <c r="F14" i="19"/>
  <c r="F13" i="19"/>
  <c r="S21" i="3"/>
  <c r="L32" i="10" s="1"/>
  <c r="D7" i="27"/>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D7" i="25"/>
  <c r="B18" i="25" s="1"/>
  <c r="B19" i="25" s="1"/>
  <c r="E19" i="25" s="1"/>
  <c r="D7" i="26"/>
  <c r="B18" i="26" s="1"/>
  <c r="B19" i="26" s="1"/>
  <c r="E19" i="26" s="1"/>
  <c r="D4" i="27"/>
  <c r="H17" i="27" s="1"/>
  <c r="C18" i="27" s="1"/>
  <c r="L30" i="10"/>
  <c r="G30" i="8"/>
  <c r="D4" i="25"/>
  <c r="H17" i="25" s="1"/>
  <c r="C18" i="25" s="1"/>
  <c r="D4" i="26"/>
  <c r="H17" i="26" s="1"/>
  <c r="C18" i="26" s="1"/>
  <c r="A63" i="21"/>
  <c r="L40" i="10"/>
  <c r="L36" i="10"/>
  <c r="L24" i="10"/>
  <c r="L26" i="10"/>
  <c r="L33" i="10"/>
  <c r="L28" i="10"/>
  <c r="L31" i="10"/>
  <c r="L21" i="10"/>
  <c r="L22" i="10"/>
  <c r="L29" i="10"/>
  <c r="L37" i="10"/>
  <c r="L35" i="10"/>
  <c r="L19" i="10"/>
  <c r="L23" i="10"/>
  <c r="L38" i="10"/>
  <c r="L39" i="10"/>
  <c r="L25" i="10"/>
  <c r="L34" i="10"/>
  <c r="L27" i="10"/>
  <c r="L20" i="10"/>
  <c r="L18" i="10"/>
  <c r="L41" i="10"/>
  <c r="B19" i="10"/>
  <c r="D4" i="10"/>
  <c r="E14" i="28"/>
  <c r="I22" i="3" s="1"/>
  <c r="D15" i="29"/>
  <c r="A61" i="23"/>
  <c r="A29" i="19"/>
  <c r="L31" i="12"/>
  <c r="L30" i="12"/>
  <c r="G4" i="10" a="1"/>
  <c r="G4" i="10" l="1"/>
  <c r="D21" i="3"/>
  <c r="M30" i="12"/>
  <c r="K42" i="10" s="1"/>
  <c r="L17" i="27" a="1"/>
  <c r="L17" i="27" s="1"/>
  <c r="L17" i="25" a="1"/>
  <c r="L17" i="25" s="1"/>
  <c r="L17" i="26" a="1"/>
  <c r="L17" i="26" s="1"/>
  <c r="AR21" i="3"/>
  <c r="T72" i="10"/>
  <c r="V72" i="10"/>
  <c r="M31" i="12"/>
  <c r="B32" i="12"/>
  <c r="H17" i="10"/>
  <c r="C18" i="10" s="1"/>
  <c r="A269" i="4"/>
  <c r="A270" i="30"/>
  <c r="B20" i="26"/>
  <c r="B21" i="26" s="1"/>
  <c r="B20" i="25"/>
  <c r="B21" i="25" s="1"/>
  <c r="B22" i="25" s="1"/>
  <c r="F16" i="19"/>
  <c r="E16" i="19" s="1"/>
  <c r="L17" i="10"/>
  <c r="B20" i="10"/>
  <c r="E19" i="10"/>
  <c r="B139" i="27"/>
  <c r="B140" i="27" s="1"/>
  <c r="B141" i="27" s="1"/>
  <c r="B142" i="27" s="1"/>
  <c r="B143" i="27" s="1"/>
  <c r="B144" i="27" s="1"/>
  <c r="B145" i="27" s="1"/>
  <c r="B146" i="27" s="1"/>
  <c r="B147" i="27" s="1"/>
  <c r="B148" i="27" s="1"/>
  <c r="B149" i="27" s="1"/>
  <c r="B150" i="27" s="1"/>
  <c r="D16" i="29"/>
  <c r="E15" i="28"/>
  <c r="J22" i="3" s="1"/>
  <c r="L32" i="12"/>
  <c r="K43" i="27"/>
  <c r="K43" i="10" l="1"/>
  <c r="M32" i="12"/>
  <c r="B33" i="12"/>
  <c r="E20" i="26"/>
  <c r="G16" i="19"/>
  <c r="F19" i="19"/>
  <c r="G19" i="19" s="1"/>
  <c r="B151" i="27"/>
  <c r="B152" i="27" s="1"/>
  <c r="B153" i="27" s="1"/>
  <c r="B154" i="27" s="1"/>
  <c r="B155" i="27" s="1"/>
  <c r="B156" i="27" s="1"/>
  <c r="B157" i="27" s="1"/>
  <c r="B158" i="27" s="1"/>
  <c r="B159" i="27" s="1"/>
  <c r="B160" i="27" s="1"/>
  <c r="B161" i="27" s="1"/>
  <c r="B162" i="27" s="1"/>
  <c r="E20" i="10"/>
  <c r="B21" i="10"/>
  <c r="B22" i="26"/>
  <c r="E21" i="26"/>
  <c r="B23" i="25"/>
  <c r="B24" i="25" s="1"/>
  <c r="E22" i="25"/>
  <c r="E16" i="28"/>
  <c r="K22" i="3" s="1"/>
  <c r="D17" i="29"/>
  <c r="K43" i="25" a="1"/>
  <c r="K42" i="25" a="1"/>
  <c r="K42" i="27"/>
  <c r="K42" i="26" a="1"/>
  <c r="L33" i="12"/>
  <c r="K43" i="26" a="1"/>
  <c r="K44" i="26" a="1"/>
  <c r="K42" i="26" l="1"/>
  <c r="K42" i="25"/>
  <c r="K43" i="25"/>
  <c r="K43" i="26"/>
  <c r="K44" i="26"/>
  <c r="K44" i="10"/>
  <c r="M33" i="12"/>
  <c r="B34" i="12"/>
  <c r="B23" i="26"/>
  <c r="B24" i="26" s="1"/>
  <c r="E22" i="26"/>
  <c r="E21" i="10"/>
  <c r="B22" i="10"/>
  <c r="B25" i="25"/>
  <c r="B163" i="27"/>
  <c r="B164" i="27" s="1"/>
  <c r="B165" i="27" s="1"/>
  <c r="B166" i="27" s="1"/>
  <c r="B167" i="27" s="1"/>
  <c r="B168" i="27" s="1"/>
  <c r="B169" i="27" s="1"/>
  <c r="B170" i="27" s="1"/>
  <c r="B171" i="27" s="1"/>
  <c r="B172" i="27" s="1"/>
  <c r="B173" i="27" s="1"/>
  <c r="B174" i="27" s="1"/>
  <c r="D18" i="29"/>
  <c r="E17" i="28"/>
  <c r="L22" i="3" s="1"/>
  <c r="L34" i="12"/>
  <c r="K44" i="27"/>
  <c r="K44" i="25" a="1"/>
  <c r="K45" i="27"/>
  <c r="K44" i="25" l="1"/>
  <c r="K45" i="10"/>
  <c r="M34" i="12"/>
  <c r="B35" i="12"/>
  <c r="B26" i="25"/>
  <c r="B27" i="25" s="1"/>
  <c r="E25" i="25"/>
  <c r="E22" i="10"/>
  <c r="B23" i="10"/>
  <c r="B175" i="27"/>
  <c r="B176" i="27" s="1"/>
  <c r="B177" i="27" s="1"/>
  <c r="B178" i="27" s="1"/>
  <c r="B179" i="27" s="1"/>
  <c r="B180" i="27" s="1"/>
  <c r="B181" i="27" s="1"/>
  <c r="B182" i="27" s="1"/>
  <c r="B183" i="27" s="1"/>
  <c r="B184" i="27" s="1"/>
  <c r="B185" i="27" s="1"/>
  <c r="B186" i="27" s="1"/>
  <c r="B25" i="26"/>
  <c r="D19" i="29"/>
  <c r="E18" i="28"/>
  <c r="M22" i="3" s="1"/>
  <c r="K45" i="26" a="1"/>
  <c r="K45" i="25" a="1"/>
  <c r="L35" i="12"/>
  <c r="K46" i="27"/>
  <c r="K45" i="26" l="1"/>
  <c r="K45" i="25"/>
  <c r="K46" i="10"/>
  <c r="M35" i="12"/>
  <c r="B36" i="12"/>
  <c r="E25" i="26"/>
  <c r="B26" i="26"/>
  <c r="B24" i="10"/>
  <c r="E23" i="10"/>
  <c r="B187" i="27"/>
  <c r="B188" i="27" s="1"/>
  <c r="B189" i="27" s="1"/>
  <c r="B190" i="27" s="1"/>
  <c r="B191" i="27" s="1"/>
  <c r="B192" i="27" s="1"/>
  <c r="B193" i="27" s="1"/>
  <c r="B194" i="27" s="1"/>
  <c r="B195" i="27" s="1"/>
  <c r="B196" i="27" s="1"/>
  <c r="B197" i="27" s="1"/>
  <c r="B198" i="27" s="1"/>
  <c r="B28" i="25"/>
  <c r="E19" i="28"/>
  <c r="N22" i="3" s="1"/>
  <c r="D20" i="29"/>
  <c r="K46" i="25" a="1"/>
  <c r="K46" i="26" a="1"/>
  <c r="L36" i="12"/>
  <c r="K47" i="26" a="1"/>
  <c r="K46" i="26" l="1"/>
  <c r="K47" i="26"/>
  <c r="K46" i="25"/>
  <c r="K47" i="10"/>
  <c r="M36" i="12"/>
  <c r="B37" i="12"/>
  <c r="B199" i="27"/>
  <c r="B200" i="27" s="1"/>
  <c r="B201" i="27" s="1"/>
  <c r="B202" i="27" s="1"/>
  <c r="B203" i="27" s="1"/>
  <c r="B204" i="27" s="1"/>
  <c r="B205" i="27" s="1"/>
  <c r="B206" i="27" s="1"/>
  <c r="B207" i="27" s="1"/>
  <c r="B208" i="27" s="1"/>
  <c r="B209" i="27" s="1"/>
  <c r="B210" i="27" s="1"/>
  <c r="E24" i="10"/>
  <c r="B25" i="10"/>
  <c r="B27" i="26"/>
  <c r="E26" i="26"/>
  <c r="B29" i="25"/>
  <c r="B30" i="25" s="1"/>
  <c r="E28" i="25"/>
  <c r="D21" i="29"/>
  <c r="E20" i="28"/>
  <c r="O22" i="3" s="1"/>
  <c r="K47" i="25" a="1"/>
  <c r="L37" i="12"/>
  <c r="K47" i="27"/>
  <c r="K48" i="27"/>
  <c r="K47" i="25" l="1"/>
  <c r="K48" i="10"/>
  <c r="M37" i="12"/>
  <c r="B38" i="12"/>
  <c r="E27" i="26"/>
  <c r="B28" i="26"/>
  <c r="B31" i="25"/>
  <c r="E25" i="10"/>
  <c r="B26" i="10"/>
  <c r="B211" i="27"/>
  <c r="B212" i="27" s="1"/>
  <c r="B213" i="27" s="1"/>
  <c r="B214" i="27" s="1"/>
  <c r="B215" i="27" s="1"/>
  <c r="B216" i="27" s="1"/>
  <c r="B217" i="27" s="1"/>
  <c r="B218" i="27" s="1"/>
  <c r="B219" i="27" s="1"/>
  <c r="B220" i="27" s="1"/>
  <c r="B221" i="27" s="1"/>
  <c r="B222" i="27" s="1"/>
  <c r="D22" i="29"/>
  <c r="E21" i="28"/>
  <c r="P22" i="3" s="1"/>
  <c r="K49" i="27"/>
  <c r="K48" i="26" a="1"/>
  <c r="K48" i="25" a="1"/>
  <c r="L38" i="12"/>
  <c r="K48" i="26" l="1"/>
  <c r="K48" i="25"/>
  <c r="K49" i="10"/>
  <c r="M38" i="12"/>
  <c r="B39" i="12"/>
  <c r="B223" i="27"/>
  <c r="B224" i="27" s="1"/>
  <c r="B225" i="27" s="1"/>
  <c r="B226" i="27" s="1"/>
  <c r="B227" i="27" s="1"/>
  <c r="B228" i="27" s="1"/>
  <c r="B229" i="27" s="1"/>
  <c r="B230" i="27" s="1"/>
  <c r="B231" i="27" s="1"/>
  <c r="B232" i="27" s="1"/>
  <c r="B233" i="27" s="1"/>
  <c r="B234" i="27" s="1"/>
  <c r="B32" i="25"/>
  <c r="B33" i="25" s="1"/>
  <c r="E31" i="25"/>
  <c r="E26" i="10"/>
  <c r="B27" i="10"/>
  <c r="B29" i="26"/>
  <c r="B30" i="26" s="1"/>
  <c r="E28" i="26"/>
  <c r="E22" i="28"/>
  <c r="Q22" i="3" s="1"/>
  <c r="D23" i="29"/>
  <c r="L39" i="12"/>
  <c r="K49" i="26" a="1"/>
  <c r="K49" i="25" a="1"/>
  <c r="K50" i="27"/>
  <c r="K49" i="26" l="1"/>
  <c r="K49" i="25"/>
  <c r="K50" i="10"/>
  <c r="M39" i="12"/>
  <c r="B40" i="12"/>
  <c r="B28" i="10"/>
  <c r="E27" i="10"/>
  <c r="B34" i="25"/>
  <c r="B235" i="27"/>
  <c r="B236" i="27" s="1"/>
  <c r="B237" i="27" s="1"/>
  <c r="B238" i="27" s="1"/>
  <c r="B239" i="27" s="1"/>
  <c r="B240" i="27" s="1"/>
  <c r="B241" i="27" s="1"/>
  <c r="B242" i="27" s="1"/>
  <c r="B243" i="27" s="1"/>
  <c r="B244" i="27" s="1"/>
  <c r="B245" i="27" s="1"/>
  <c r="B246" i="27" s="1"/>
  <c r="B31" i="26"/>
  <c r="D24" i="29"/>
  <c r="E23" i="28"/>
  <c r="R22" i="3" s="1"/>
  <c r="K50" i="25" a="1"/>
  <c r="L40" i="12"/>
  <c r="K50" i="26" a="1"/>
  <c r="K51" i="27"/>
  <c r="K50" i="26" l="1"/>
  <c r="K50" i="25"/>
  <c r="K51" i="10"/>
  <c r="M40" i="12"/>
  <c r="B41" i="12"/>
  <c r="B247" i="27"/>
  <c r="B248" i="27" s="1"/>
  <c r="B249" i="27" s="1"/>
  <c r="B250" i="27" s="1"/>
  <c r="B251" i="27" s="1"/>
  <c r="B252" i="27" s="1"/>
  <c r="B253" i="27" s="1"/>
  <c r="B254" i="27" s="1"/>
  <c r="B255" i="27" s="1"/>
  <c r="B256" i="27" s="1"/>
  <c r="B257" i="27" s="1"/>
  <c r="B258" i="27" s="1"/>
  <c r="B35" i="25"/>
  <c r="B36" i="25" s="1"/>
  <c r="E34" i="25"/>
  <c r="B32" i="26"/>
  <c r="E31" i="26"/>
  <c r="E28" i="10"/>
  <c r="B29" i="10"/>
  <c r="B30" i="10" s="1"/>
  <c r="E24" i="28"/>
  <c r="S22" i="3" s="1"/>
  <c r="D25" i="29"/>
  <c r="K51" i="26" a="1"/>
  <c r="L41" i="12"/>
  <c r="K51" i="25" a="1"/>
  <c r="K52" i="27"/>
  <c r="K51" i="26" l="1"/>
  <c r="K51" i="25"/>
  <c r="K52" i="10"/>
  <c r="M41" i="12"/>
  <c r="B42" i="12"/>
  <c r="B31" i="10"/>
  <c r="B33" i="26"/>
  <c r="E32" i="26"/>
  <c r="B37" i="25"/>
  <c r="B259" i="27"/>
  <c r="B260" i="27" s="1"/>
  <c r="B261" i="27" s="1"/>
  <c r="B262" i="27" s="1"/>
  <c r="B263" i="27" s="1"/>
  <c r="B264" i="27" s="1"/>
  <c r="B265" i="27" s="1"/>
  <c r="B266" i="27" s="1"/>
  <c r="B267" i="27" s="1"/>
  <c r="B268" i="27" s="1"/>
  <c r="B269" i="27" s="1"/>
  <c r="B270" i="27" s="1"/>
  <c r="E25" i="28"/>
  <c r="T22" i="3" s="1"/>
  <c r="D26" i="29"/>
  <c r="K53" i="26" a="1"/>
  <c r="L42" i="12"/>
  <c r="K52" i="25" a="1"/>
  <c r="K52" i="26" a="1"/>
  <c r="K52" i="26" l="1"/>
  <c r="K53" i="26"/>
  <c r="K52" i="25"/>
  <c r="K53" i="10"/>
  <c r="M42" i="12"/>
  <c r="B43" i="12"/>
  <c r="B271" i="27"/>
  <c r="B272" i="27" s="1"/>
  <c r="B273" i="27" s="1"/>
  <c r="B274" i="27" s="1"/>
  <c r="B275" i="27" s="1"/>
  <c r="B276" i="27" s="1"/>
  <c r="B277" i="27" s="1"/>
  <c r="B278" i="27" s="1"/>
  <c r="B279" i="27" s="1"/>
  <c r="B280" i="27" s="1"/>
  <c r="B281" i="27" s="1"/>
  <c r="B282" i="27" s="1"/>
  <c r="B38" i="25"/>
  <c r="B39" i="25" s="1"/>
  <c r="E37" i="25"/>
  <c r="B34" i="26"/>
  <c r="E33" i="26"/>
  <c r="B32" i="10"/>
  <c r="E31" i="10"/>
  <c r="D27" i="29"/>
  <c r="E26" i="28"/>
  <c r="U22" i="3" s="1"/>
  <c r="L43" i="12"/>
  <c r="K53" i="27"/>
  <c r="K53" i="25" a="1"/>
  <c r="K54" i="27"/>
  <c r="K53" i="25" l="1"/>
  <c r="K54" i="10"/>
  <c r="M43" i="12"/>
  <c r="K55" i="10" s="1"/>
  <c r="B44" i="12"/>
  <c r="B33" i="10"/>
  <c r="E32" i="10"/>
  <c r="B35" i="26"/>
  <c r="B36" i="26" s="1"/>
  <c r="E34" i="26"/>
  <c r="B40" i="25"/>
  <c r="B283" i="27"/>
  <c r="B284" i="27" s="1"/>
  <c r="B285" i="27" s="1"/>
  <c r="B286" i="27" s="1"/>
  <c r="B287" i="27" s="1"/>
  <c r="B288" i="27" s="1"/>
  <c r="B289" i="27" s="1"/>
  <c r="B290" i="27" s="1"/>
  <c r="B291" i="27" s="1"/>
  <c r="B292" i="27" s="1"/>
  <c r="B293" i="27" s="1"/>
  <c r="B294" i="27" s="1"/>
  <c r="E34" i="29"/>
  <c r="C34" i="29"/>
  <c r="E27" i="28"/>
  <c r="V22" i="3" s="1"/>
  <c r="D28" i="29"/>
  <c r="L44" i="12"/>
  <c r="K54" i="26" a="1"/>
  <c r="K54" i="25" a="1"/>
  <c r="K54" i="26" l="1"/>
  <c r="K54" i="25"/>
  <c r="M44" i="12"/>
  <c r="B295" i="27"/>
  <c r="B296" i="27" s="1"/>
  <c r="B297" i="27" s="1"/>
  <c r="B298" i="27" s="1"/>
  <c r="B299" i="27" s="1"/>
  <c r="B300" i="27" s="1"/>
  <c r="B301" i="27" s="1"/>
  <c r="B302" i="27" s="1"/>
  <c r="B303" i="27" s="1"/>
  <c r="B304" i="27" s="1"/>
  <c r="B305" i="27" s="1"/>
  <c r="B306" i="27" s="1"/>
  <c r="B41" i="25"/>
  <c r="B42" i="25" s="1"/>
  <c r="E40" i="25"/>
  <c r="B37" i="26"/>
  <c r="E33" i="10"/>
  <c r="B34" i="10"/>
  <c r="E28" i="28"/>
  <c r="W22" i="3" s="1"/>
  <c r="AR22" i="3" s="1"/>
  <c r="D34" i="29"/>
  <c r="E34" i="28" s="1"/>
  <c r="K55" i="25" a="1"/>
  <c r="K55" i="26" a="1"/>
  <c r="K55" i="27"/>
  <c r="K56" i="27"/>
  <c r="K55" i="26" l="1"/>
  <c r="K55" i="25"/>
  <c r="K56" i="10"/>
  <c r="B35" i="10"/>
  <c r="E34" i="10"/>
  <c r="B38" i="26"/>
  <c r="E37" i="26"/>
  <c r="B43" i="25"/>
  <c r="B307" i="27"/>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B440" i="27" s="1"/>
  <c r="B441" i="27" s="1"/>
  <c r="B442" i="27" s="1"/>
  <c r="B443" i="27" s="1"/>
  <c r="B444" i="27" s="1"/>
  <c r="B445" i="27" s="1"/>
  <c r="B446" i="27" s="1"/>
  <c r="B447" i="27" s="1"/>
  <c r="B448" i="27" s="1"/>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B476" i="27" s="1"/>
  <c r="B477" i="27" s="1"/>
  <c r="B478" i="27" s="1"/>
  <c r="B479" i="27" s="1"/>
  <c r="B480" i="27" s="1"/>
  <c r="B481" i="27" s="1"/>
  <c r="B482" i="27" s="1"/>
  <c r="B483" i="27" s="1"/>
  <c r="B484" i="27" s="1"/>
  <c r="B485" i="27" s="1"/>
  <c r="B486" i="27" s="1"/>
  <c r="B487" i="27" s="1"/>
  <c r="B488" i="27" s="1"/>
  <c r="B489" i="27" s="1"/>
  <c r="B490" i="27" s="1"/>
  <c r="B491" i="27" s="1"/>
  <c r="B492" i="27" s="1"/>
  <c r="B493" i="27" s="1"/>
  <c r="B494" i="27" s="1"/>
  <c r="B495" i="27" s="1"/>
  <c r="B496" i="27" s="1"/>
  <c r="B497" i="27" s="1"/>
  <c r="E49" i="28"/>
  <c r="K56" i="25" a="1"/>
  <c r="K56" i="26" a="1"/>
  <c r="K56" i="26" l="1"/>
  <c r="K56" i="25"/>
  <c r="B44" i="25"/>
  <c r="B45" i="25" s="1"/>
  <c r="E43" i="25"/>
  <c r="B39" i="26"/>
  <c r="E38" i="26"/>
  <c r="B36" i="10"/>
  <c r="E35" i="10"/>
  <c r="B37" i="10" l="1"/>
  <c r="E36" i="10"/>
  <c r="B40" i="26"/>
  <c r="E39" i="26"/>
  <c r="B46" i="25"/>
  <c r="B47" i="25" l="1"/>
  <c r="B48" i="25" s="1"/>
  <c r="E46" i="25"/>
  <c r="E40" i="26"/>
  <c r="B41" i="26"/>
  <c r="B42" i="26" s="1"/>
  <c r="E37" i="10"/>
  <c r="B38" i="10"/>
  <c r="E38" i="10" l="1"/>
  <c r="B39" i="10"/>
  <c r="B43" i="26"/>
  <c r="B49" i="25"/>
  <c r="B50" i="25" l="1"/>
  <c r="B51" i="25" s="1"/>
  <c r="E49" i="25"/>
  <c r="E43" i="26"/>
  <c r="B44" i="26"/>
  <c r="B40" i="10"/>
  <c r="E39" i="10"/>
  <c r="B45" i="26" l="1"/>
  <c r="E44" i="26"/>
  <c r="E40" i="10"/>
  <c r="B41" i="10"/>
  <c r="B42" i="10" s="1"/>
  <c r="B52" i="25"/>
  <c r="B53" i="25" l="1"/>
  <c r="B54" i="25" s="1"/>
  <c r="E52" i="25"/>
  <c r="B43" i="10"/>
  <c r="B46" i="26"/>
  <c r="E45" i="26"/>
  <c r="B47" i="26" l="1"/>
  <c r="B48" i="26" s="1"/>
  <c r="E46" i="26"/>
  <c r="E43" i="10"/>
  <c r="B44" i="10"/>
  <c r="B55" i="25"/>
  <c r="B56" i="25" l="1"/>
  <c r="B57" i="25" s="1"/>
  <c r="E55" i="25"/>
  <c r="E44" i="10"/>
  <c r="B45" i="10"/>
  <c r="B49" i="26"/>
  <c r="B50" i="26" l="1"/>
  <c r="E49" i="26"/>
  <c r="B46" i="10"/>
  <c r="E45" i="10"/>
  <c r="B58" i="25"/>
  <c r="B47" i="10" l="1"/>
  <c r="E46" i="10"/>
  <c r="B59" i="25"/>
  <c r="B60" i="25" s="1"/>
  <c r="E58" i="25"/>
  <c r="B51" i="26"/>
  <c r="E50" i="26"/>
  <c r="E51" i="26" l="1"/>
  <c r="B52" i="26"/>
  <c r="B61" i="25"/>
  <c r="B48" i="10"/>
  <c r="E47" i="10"/>
  <c r="B49" i="10" l="1"/>
  <c r="E48" i="10"/>
  <c r="B62" i="25"/>
  <c r="B63" i="25" s="1"/>
  <c r="E61" i="25"/>
  <c r="E52" i="26"/>
  <c r="B53" i="26"/>
  <c r="B54" i="26" s="1"/>
  <c r="B64" i="25" l="1"/>
  <c r="B55" i="26"/>
  <c r="B50" i="10"/>
  <c r="E49" i="10"/>
  <c r="B51" i="10" l="1"/>
  <c r="E50" i="10"/>
  <c r="B56" i="26"/>
  <c r="E55" i="26"/>
  <c r="B65" i="25"/>
  <c r="B66" i="25" s="1"/>
  <c r="E64" i="25"/>
  <c r="B67" i="25" l="1"/>
  <c r="B57" i="26"/>
  <c r="E56" i="26"/>
  <c r="E51" i="10"/>
  <c r="B52" i="10"/>
  <c r="B58" i="26" l="1"/>
  <c r="E57" i="26"/>
  <c r="E52" i="10"/>
  <c r="B53" i="10"/>
  <c r="B54" i="10" s="1"/>
  <c r="E67" i="25"/>
  <c r="B68" i="25"/>
  <c r="B69" i="25" s="1"/>
  <c r="B70" i="25" l="1"/>
  <c r="B55" i="10"/>
  <c r="B59" i="26"/>
  <c r="B60" i="26" s="1"/>
  <c r="E58" i="26"/>
  <c r="B56" i="10" l="1"/>
  <c r="E55" i="10"/>
  <c r="B61" i="26"/>
  <c r="B71" i="25"/>
  <c r="B72" i="25" s="1"/>
  <c r="E70" i="25"/>
  <c r="B73" i="25" l="1"/>
  <c r="B62" i="26"/>
  <c r="E61" i="26"/>
  <c r="B57" i="10"/>
  <c r="E56" i="10"/>
  <c r="B63" i="26" l="1"/>
  <c r="E62" i="26"/>
  <c r="E57" i="10"/>
  <c r="B58" i="10"/>
  <c r="B74" i="25"/>
  <c r="B75" i="25" s="1"/>
  <c r="E73" i="25"/>
  <c r="E58" i="10" l="1"/>
  <c r="B59" i="10"/>
  <c r="B76" i="25"/>
  <c r="B64" i="26"/>
  <c r="E63" i="26"/>
  <c r="E64" i="26" l="1"/>
  <c r="B65" i="26"/>
  <c r="B66" i="26" s="1"/>
  <c r="B60" i="10"/>
  <c r="E59" i="10"/>
  <c r="B77" i="25"/>
  <c r="B78" i="25" s="1"/>
  <c r="E76" i="25"/>
  <c r="B79" i="25" l="1"/>
  <c r="B67" i="26"/>
  <c r="E60" i="10"/>
  <c r="B61" i="10"/>
  <c r="B68" i="26" l="1"/>
  <c r="E67" i="26"/>
  <c r="E61" i="10"/>
  <c r="B62" i="10"/>
  <c r="B80" i="25"/>
  <c r="B81" i="25" s="1"/>
  <c r="E79" i="25"/>
  <c r="B82" i="25" l="1"/>
  <c r="E62" i="10"/>
  <c r="B63" i="10"/>
  <c r="B69" i="26"/>
  <c r="E68" i="26"/>
  <c r="E69" i="26" l="1"/>
  <c r="B70" i="26"/>
  <c r="B64" i="10"/>
  <c r="E63" i="10"/>
  <c r="E82" i="25"/>
  <c r="B83" i="25"/>
  <c r="B84" i="25" s="1"/>
  <c r="B85" i="25" l="1"/>
  <c r="B65" i="10"/>
  <c r="B66" i="10" s="1"/>
  <c r="E64" i="10"/>
  <c r="B71" i="26"/>
  <c r="B72" i="26" s="1"/>
  <c r="E70" i="26"/>
  <c r="B73" i="26" l="1"/>
  <c r="B67" i="10"/>
  <c r="B86" i="25"/>
  <c r="B87" i="25" s="1"/>
  <c r="E85" i="25"/>
  <c r="B68" i="10" l="1"/>
  <c r="E67" i="10"/>
  <c r="B88" i="25"/>
  <c r="B74" i="26"/>
  <c r="E73" i="26"/>
  <c r="E74" i="26" l="1"/>
  <c r="B75" i="26"/>
  <c r="E88" i="25"/>
  <c r="B89" i="25"/>
  <c r="B90" i="25" s="1"/>
  <c r="E68" i="10"/>
  <c r="B69" i="10"/>
  <c r="B70" i="10" l="1"/>
  <c r="E69" i="10"/>
  <c r="B91" i="25"/>
  <c r="E75" i="26"/>
  <c r="B76" i="26"/>
  <c r="B92" i="25" l="1"/>
  <c r="B93" i="25" s="1"/>
  <c r="E91" i="25"/>
  <c r="E76" i="26"/>
  <c r="B77" i="26"/>
  <c r="B78" i="26" s="1"/>
  <c r="B71" i="10"/>
  <c r="E70" i="10"/>
  <c r="B72" i="10" l="1"/>
  <c r="E71" i="10"/>
  <c r="B79" i="26"/>
  <c r="B94" i="25"/>
  <c r="B95" i="25" l="1"/>
  <c r="B96" i="25" s="1"/>
  <c r="E94" i="25"/>
  <c r="B80" i="26"/>
  <c r="E79" i="26"/>
  <c r="E72" i="10"/>
  <c r="B73" i="10"/>
  <c r="B74" i="10" l="1"/>
  <c r="E73" i="10"/>
  <c r="B81" i="26"/>
  <c r="E80" i="26"/>
  <c r="B97" i="25"/>
  <c r="E97" i="25" l="1"/>
  <c r="B98" i="25"/>
  <c r="B99" i="25" s="1"/>
  <c r="B82" i="26"/>
  <c r="E81" i="26"/>
  <c r="E74" i="10"/>
  <c r="B75" i="10"/>
  <c r="B83" i="26" l="1"/>
  <c r="B84" i="26" s="1"/>
  <c r="E82" i="26"/>
  <c r="B76" i="10"/>
  <c r="E75" i="10"/>
  <c r="B100" i="25"/>
  <c r="E76" i="10" l="1"/>
  <c r="B77" i="10"/>
  <c r="B78" i="10" s="1"/>
  <c r="B101" i="25"/>
  <c r="B102" i="25" s="1"/>
  <c r="E100" i="25"/>
  <c r="B85" i="26"/>
  <c r="E85" i="26" l="1"/>
  <c r="B86" i="26"/>
  <c r="B103" i="25"/>
  <c r="B79" i="10"/>
  <c r="E79" i="10" l="1"/>
  <c r="B80" i="10"/>
  <c r="E103" i="25"/>
  <c r="B104" i="25"/>
  <c r="B105" i="25" s="1"/>
  <c r="E86" i="26"/>
  <c r="B87" i="26"/>
  <c r="E87" i="26" l="1"/>
  <c r="B88" i="26"/>
  <c r="E80" i="10"/>
  <c r="B81" i="10"/>
  <c r="B106" i="25"/>
  <c r="B107" i="25" l="1"/>
  <c r="B108" i="25" s="1"/>
  <c r="E106" i="25"/>
  <c r="E88" i="26"/>
  <c r="B89" i="26"/>
  <c r="B90" i="26" s="1"/>
  <c r="B82" i="10"/>
  <c r="E81" i="10"/>
  <c r="B83" i="10" l="1"/>
  <c r="E82" i="10"/>
  <c r="B91" i="26"/>
  <c r="B109" i="25"/>
  <c r="B110" i="25" l="1"/>
  <c r="B111" i="25" s="1"/>
  <c r="E109" i="25"/>
  <c r="E91" i="26"/>
  <c r="B92" i="26"/>
  <c r="B84" i="10"/>
  <c r="E83" i="10"/>
  <c r="E92" i="26" l="1"/>
  <c r="B93" i="26"/>
  <c r="E84" i="10"/>
  <c r="B85" i="10"/>
  <c r="B112" i="25"/>
  <c r="B113" i="25" l="1"/>
  <c r="B114" i="25" s="1"/>
  <c r="E112" i="25"/>
  <c r="B86" i="10"/>
  <c r="E85" i="10"/>
  <c r="E93" i="26"/>
  <c r="B94" i="26"/>
  <c r="E94" i="26" l="1"/>
  <c r="B95" i="26"/>
  <c r="B96" i="26" s="1"/>
  <c r="E86" i="10"/>
  <c r="B87" i="10"/>
  <c r="B115" i="25"/>
  <c r="E87" i="10" l="1"/>
  <c r="B88" i="10"/>
  <c r="B116" i="25"/>
  <c r="B117" i="25" s="1"/>
  <c r="E115" i="25"/>
  <c r="B97" i="26"/>
  <c r="E97" i="26" l="1"/>
  <c r="B98" i="26"/>
  <c r="B118" i="25"/>
  <c r="E88" i="10"/>
  <c r="B89" i="10"/>
  <c r="B90" i="10" s="1"/>
  <c r="E118" i="25" l="1"/>
  <c r="B119" i="25"/>
  <c r="B120" i="25" s="1"/>
  <c r="B91" i="10"/>
  <c r="E98" i="26"/>
  <c r="B99" i="26"/>
  <c r="B100" i="26" l="1"/>
  <c r="E99" i="26"/>
  <c r="B92" i="10"/>
  <c r="E91" i="10"/>
  <c r="B121" i="25"/>
  <c r="B122" i="25" l="1"/>
  <c r="B123" i="25" s="1"/>
  <c r="E121" i="25"/>
  <c r="B93" i="10"/>
  <c r="E92" i="10"/>
  <c r="B101" i="26"/>
  <c r="B102" i="26" s="1"/>
  <c r="E100" i="26"/>
  <c r="B103" i="26" l="1"/>
  <c r="E93" i="10"/>
  <c r="B94" i="10"/>
  <c r="B124" i="25"/>
  <c r="B125" i="25" l="1"/>
  <c r="B126" i="25" s="1"/>
  <c r="E124" i="25"/>
  <c r="B95" i="10"/>
  <c r="E94" i="10"/>
  <c r="B104" i="26"/>
  <c r="E103" i="26"/>
  <c r="E104" i="26" l="1"/>
  <c r="B105" i="26"/>
  <c r="E95" i="10"/>
  <c r="B96" i="10"/>
  <c r="B127" i="25"/>
  <c r="E96" i="10" l="1"/>
  <c r="B97" i="10"/>
  <c r="B128" i="25"/>
  <c r="B129" i="25" s="1"/>
  <c r="E127" i="25"/>
  <c r="E105" i="26"/>
  <c r="B106" i="26"/>
  <c r="E106" i="26" l="1"/>
  <c r="B107" i="26"/>
  <c r="B108" i="26" s="1"/>
  <c r="B130" i="25"/>
  <c r="B98" i="10"/>
  <c r="E97" i="10"/>
  <c r="E98" i="10" l="1"/>
  <c r="B99" i="10"/>
  <c r="B131" i="25"/>
  <c r="B132" i="25" s="1"/>
  <c r="E130" i="25"/>
  <c r="B109" i="26"/>
  <c r="B133" i="25" l="1"/>
  <c r="B110" i="26"/>
  <c r="E109" i="26"/>
  <c r="B100" i="10"/>
  <c r="E99" i="10"/>
  <c r="E100" i="10" l="1"/>
  <c r="B101" i="10"/>
  <c r="B102" i="10" s="1"/>
  <c r="B111" i="26"/>
  <c r="E110" i="26"/>
  <c r="E133" i="25"/>
  <c r="B134" i="25"/>
  <c r="B135" i="25" s="1"/>
  <c r="B136" i="25" l="1"/>
  <c r="E111" i="26"/>
  <c r="B112" i="26"/>
  <c r="B103" i="10"/>
  <c r="E103" i="10" l="1"/>
  <c r="B104" i="10"/>
  <c r="B113" i="26"/>
  <c r="B114" i="26" s="1"/>
  <c r="E112" i="26"/>
  <c r="B137" i="25"/>
  <c r="B138" i="25" s="1"/>
  <c r="E136" i="25"/>
  <c r="B139" i="25" l="1"/>
  <c r="B115" i="26"/>
  <c r="B105" i="10"/>
  <c r="E104" i="10"/>
  <c r="B106" i="10" l="1"/>
  <c r="E105" i="10"/>
  <c r="E115" i="26"/>
  <c r="B116" i="26"/>
  <c r="B140" i="25"/>
  <c r="B141" i="25" s="1"/>
  <c r="E139" i="25"/>
  <c r="B142" i="25" l="1"/>
  <c r="E116" i="26"/>
  <c r="B117" i="26"/>
  <c r="B107" i="10"/>
  <c r="E106" i="10"/>
  <c r="E107" i="10" l="1"/>
  <c r="B108" i="10"/>
  <c r="B118" i="26"/>
  <c r="E117" i="26"/>
  <c r="B143" i="25"/>
  <c r="B144" i="25" s="1"/>
  <c r="E142" i="25"/>
  <c r="E118" i="26" l="1"/>
  <c r="B119" i="26"/>
  <c r="B120" i="26" s="1"/>
  <c r="B145" i="25"/>
  <c r="B109" i="10"/>
  <c r="E108" i="10"/>
  <c r="B110" i="10" l="1"/>
  <c r="E109" i="10"/>
  <c r="B146" i="25"/>
  <c r="B147" i="25" s="1"/>
  <c r="E145" i="25"/>
  <c r="B121" i="26"/>
  <c r="B122" i="26" l="1"/>
  <c r="E121" i="26"/>
  <c r="B148" i="25"/>
  <c r="B111" i="10"/>
  <c r="E110" i="10"/>
  <c r="B112" i="10" l="1"/>
  <c r="E111" i="10"/>
  <c r="B149" i="25"/>
  <c r="B150" i="25" s="1"/>
  <c r="E148" i="25"/>
  <c r="E122" i="26"/>
  <c r="B123" i="26"/>
  <c r="B151" i="25" l="1"/>
  <c r="E123" i="26"/>
  <c r="B124" i="26"/>
  <c r="E112" i="10"/>
  <c r="B113" i="10"/>
  <c r="B114" i="10" s="1"/>
  <c r="B115" i="10" l="1"/>
  <c r="B125" i="26"/>
  <c r="B126" i="26" s="1"/>
  <c r="E124" i="26"/>
  <c r="B152" i="25"/>
  <c r="B153" i="25" s="1"/>
  <c r="E151" i="25"/>
  <c r="B154" i="25" l="1"/>
  <c r="B127" i="26"/>
  <c r="E115" i="10"/>
  <c r="B116" i="10"/>
  <c r="E116" i="10" l="1"/>
  <c r="B117" i="10"/>
  <c r="B128" i="26"/>
  <c r="E127" i="26"/>
  <c r="B155" i="25"/>
  <c r="B156" i="25" s="1"/>
  <c r="E154" i="25"/>
  <c r="B157" i="25" l="1"/>
  <c r="E128" i="26"/>
  <c r="B129" i="26"/>
  <c r="B118" i="10"/>
  <c r="E117" i="10"/>
  <c r="B119" i="10" l="1"/>
  <c r="E118" i="10"/>
  <c r="B130" i="26"/>
  <c r="E129" i="26"/>
  <c r="E157" i="25"/>
  <c r="B158" i="25"/>
  <c r="B159" i="25" s="1"/>
  <c r="B160" i="25" l="1"/>
  <c r="B131" i="26"/>
  <c r="B132" i="26" s="1"/>
  <c r="E130" i="26"/>
  <c r="B120" i="10"/>
  <c r="E119" i="10"/>
  <c r="E120" i="10" l="1"/>
  <c r="B121" i="10"/>
  <c r="B133" i="26"/>
  <c r="B161" i="25"/>
  <c r="B162" i="25" s="1"/>
  <c r="E160" i="25"/>
  <c r="B134" i="26" l="1"/>
  <c r="E133" i="26"/>
  <c r="E121" i="10"/>
  <c r="B122" i="10"/>
  <c r="B163" i="25"/>
  <c r="E122" i="10" l="1"/>
  <c r="B123" i="10"/>
  <c r="B164" i="25"/>
  <c r="B165" i="25" s="1"/>
  <c r="E163" i="25"/>
  <c r="E134" i="26"/>
  <c r="B135" i="26"/>
  <c r="E135" i="26" l="1"/>
  <c r="B136" i="26"/>
  <c r="B166" i="25"/>
  <c r="B124" i="10"/>
  <c r="E123" i="10"/>
  <c r="B125" i="10" l="1"/>
  <c r="B126" i="10" s="1"/>
  <c r="E124" i="10"/>
  <c r="B167" i="25"/>
  <c r="B168" i="25" s="1"/>
  <c r="E166" i="25"/>
  <c r="E136" i="26"/>
  <c r="B137" i="26"/>
  <c r="B138" i="26" s="1"/>
  <c r="B139" i="26" l="1"/>
  <c r="B169" i="25"/>
  <c r="B127" i="10"/>
  <c r="E127" i="10" l="1"/>
  <c r="B128" i="10"/>
  <c r="B170" i="25"/>
  <c r="B171" i="25" s="1"/>
  <c r="E169" i="25"/>
  <c r="B140" i="26"/>
  <c r="E139" i="26"/>
  <c r="B172" i="25" l="1"/>
  <c r="B129" i="10"/>
  <c r="E128" i="10"/>
  <c r="E140" i="26"/>
  <c r="B141" i="26"/>
  <c r="B142" i="26" l="1"/>
  <c r="E141" i="26"/>
  <c r="B130" i="10"/>
  <c r="E129" i="10"/>
  <c r="E172" i="25"/>
  <c r="B173" i="25"/>
  <c r="B174" i="25" s="1"/>
  <c r="B175" i="25" l="1"/>
  <c r="B131" i="10"/>
  <c r="E130" i="10"/>
  <c r="E142" i="26"/>
  <c r="B143" i="26"/>
  <c r="B144" i="26" s="1"/>
  <c r="B132" i="10" l="1"/>
  <c r="E131" i="10"/>
  <c r="B145" i="26"/>
  <c r="B176" i="25"/>
  <c r="B177" i="25" s="1"/>
  <c r="E175" i="25"/>
  <c r="B178" i="25" l="1"/>
  <c r="B146" i="26"/>
  <c r="E145" i="26"/>
  <c r="E132" i="10"/>
  <c r="B133" i="10"/>
  <c r="B134" i="10" l="1"/>
  <c r="E133" i="10"/>
  <c r="B147" i="26"/>
  <c r="E146" i="26"/>
  <c r="E178" i="25"/>
  <c r="B179" i="25"/>
  <c r="B180" i="25" s="1"/>
  <c r="B181" i="25" l="1"/>
  <c r="B148" i="26"/>
  <c r="E147" i="26"/>
  <c r="B135" i="10"/>
  <c r="E134" i="10"/>
  <c r="B136" i="10" l="1"/>
  <c r="E135" i="10"/>
  <c r="E148" i="26"/>
  <c r="B149" i="26"/>
  <c r="B150" i="26" s="1"/>
  <c r="E181" i="25"/>
  <c r="B182" i="25"/>
  <c r="B183" i="25" s="1"/>
  <c r="B151" i="26" l="1"/>
  <c r="B184" i="25"/>
  <c r="B137" i="10"/>
  <c r="B138" i="10" s="1"/>
  <c r="E136" i="10"/>
  <c r="B139" i="10" l="1"/>
  <c r="B185" i="25"/>
  <c r="B186" i="25" s="1"/>
  <c r="E184" i="25"/>
  <c r="E151" i="26"/>
  <c r="B152" i="26"/>
  <c r="B153" i="26" l="1"/>
  <c r="E152" i="26"/>
  <c r="B187" i="25"/>
  <c r="B140" i="10"/>
  <c r="E139" i="10"/>
  <c r="B141" i="10" l="1"/>
  <c r="E140" i="10"/>
  <c r="B188" i="25"/>
  <c r="B189" i="25" s="1"/>
  <c r="E187" i="25"/>
  <c r="B154" i="26"/>
  <c r="E153" i="26"/>
  <c r="E154" i="26" l="1"/>
  <c r="B155" i="26"/>
  <c r="B156" i="26" s="1"/>
  <c r="B190" i="25"/>
  <c r="E141" i="10"/>
  <c r="B142" i="10"/>
  <c r="E190" i="25" l="1"/>
  <c r="B191" i="25"/>
  <c r="B192" i="25" s="1"/>
  <c r="B157" i="26"/>
  <c r="B143" i="10"/>
  <c r="E142" i="10"/>
  <c r="E143" i="10" l="1"/>
  <c r="B144" i="10"/>
  <c r="B158" i="26"/>
  <c r="E157" i="26"/>
  <c r="B193" i="25"/>
  <c r="E158" i="26" l="1"/>
  <c r="B159" i="26"/>
  <c r="B145" i="10"/>
  <c r="E144" i="10"/>
  <c r="B194" i="25"/>
  <c r="B195" i="25" s="1"/>
  <c r="E193" i="25"/>
  <c r="B146" i="10" l="1"/>
  <c r="E145" i="10"/>
  <c r="B196" i="25"/>
  <c r="B160" i="26"/>
  <c r="E159" i="26"/>
  <c r="E160" i="26" l="1"/>
  <c r="B161" i="26"/>
  <c r="B162" i="26" s="1"/>
  <c r="B197" i="25"/>
  <c r="B198" i="25" s="1"/>
  <c r="E196" i="25"/>
  <c r="E146" i="10"/>
  <c r="B147" i="10"/>
  <c r="E147" i="10" l="1"/>
  <c r="B148" i="10"/>
  <c r="B199" i="25"/>
  <c r="B163" i="26"/>
  <c r="E199" i="25" l="1"/>
  <c r="B200" i="25"/>
  <c r="B201" i="25" s="1"/>
  <c r="E163" i="26"/>
  <c r="B164" i="26"/>
  <c r="B149" i="10"/>
  <c r="B150" i="10" s="1"/>
  <c r="E148" i="10"/>
  <c r="B151" i="10" l="1"/>
  <c r="E164" i="26"/>
  <c r="B165" i="26"/>
  <c r="B202" i="25"/>
  <c r="B203" i="25" l="1"/>
  <c r="B204" i="25" s="1"/>
  <c r="E202" i="25"/>
  <c r="B166" i="26"/>
  <c r="E165" i="26"/>
  <c r="B152" i="10"/>
  <c r="E151" i="10"/>
  <c r="B153" i="10" l="1"/>
  <c r="E152" i="10"/>
  <c r="B167" i="26"/>
  <c r="B168" i="26" s="1"/>
  <c r="E166" i="26"/>
  <c r="B205" i="25"/>
  <c r="B206" i="25" l="1"/>
  <c r="B207" i="25" s="1"/>
  <c r="E205" i="25"/>
  <c r="B169" i="26"/>
  <c r="E153" i="10"/>
  <c r="B154" i="10"/>
  <c r="B155" i="10" l="1"/>
  <c r="E154" i="10"/>
  <c r="B170" i="26"/>
  <c r="E169" i="26"/>
  <c r="B208" i="25"/>
  <c r="B171" i="26" l="1"/>
  <c r="E170" i="26"/>
  <c r="B209" i="25"/>
  <c r="B210" i="25" s="1"/>
  <c r="E208" i="25"/>
  <c r="B156" i="10"/>
  <c r="E155" i="10"/>
  <c r="E156" i="10" l="1"/>
  <c r="B157" i="10"/>
  <c r="B211" i="25"/>
  <c r="B172" i="26"/>
  <c r="E171" i="26"/>
  <c r="E211" i="25" l="1"/>
  <c r="B212" i="25"/>
  <c r="B213" i="25" s="1"/>
  <c r="B173" i="26"/>
  <c r="B174" i="26" s="1"/>
  <c r="E172" i="26"/>
  <c r="E157" i="10"/>
  <c r="B158" i="10"/>
  <c r="E158" i="10" l="1"/>
  <c r="B159" i="10"/>
  <c r="B175" i="26"/>
  <c r="B214" i="25"/>
  <c r="B215" i="25" l="1"/>
  <c r="B216" i="25" s="1"/>
  <c r="E214" i="25"/>
  <c r="E175" i="26"/>
  <c r="B176" i="26"/>
  <c r="E159" i="10"/>
  <c r="B160" i="10"/>
  <c r="E176" i="26" l="1"/>
  <c r="B177" i="26"/>
  <c r="E160" i="10"/>
  <c r="B161" i="10"/>
  <c r="B162" i="10" s="1"/>
  <c r="B217" i="25"/>
  <c r="E217" i="25" l="1"/>
  <c r="B218" i="25"/>
  <c r="B219" i="25" s="1"/>
  <c r="B163" i="10"/>
  <c r="B178" i="26"/>
  <c r="E177" i="26"/>
  <c r="E163" i="10" l="1"/>
  <c r="B164" i="10"/>
  <c r="B220" i="25"/>
  <c r="B179" i="26"/>
  <c r="B180" i="26" s="1"/>
  <c r="E178" i="26"/>
  <c r="B181" i="26" l="1"/>
  <c r="B221" i="25"/>
  <c r="B222" i="25" s="1"/>
  <c r="E220" i="25"/>
  <c r="B165" i="10"/>
  <c r="E164" i="10"/>
  <c r="B166" i="10" l="1"/>
  <c r="E165" i="10"/>
  <c r="B223" i="25"/>
  <c r="B182" i="26"/>
  <c r="E181" i="26"/>
  <c r="E182" i="26" l="1"/>
  <c r="B183" i="26"/>
  <c r="B224" i="25"/>
  <c r="B225" i="25" s="1"/>
  <c r="E223" i="25"/>
  <c r="E166" i="10"/>
  <c r="B167" i="10"/>
  <c r="E167" i="10" l="1"/>
  <c r="B168" i="10"/>
  <c r="B226" i="25"/>
  <c r="E183" i="26"/>
  <c r="B184" i="26"/>
  <c r="B185" i="26" l="1"/>
  <c r="B186" i="26" s="1"/>
  <c r="E184" i="26"/>
  <c r="B227" i="25"/>
  <c r="B228" i="25" s="1"/>
  <c r="E226" i="25"/>
  <c r="E168" i="10"/>
  <c r="B169" i="10"/>
  <c r="B229" i="25" l="1"/>
  <c r="E169" i="10"/>
  <c r="B170" i="10"/>
  <c r="B187" i="26"/>
  <c r="B188" i="26" l="1"/>
  <c r="E187" i="26"/>
  <c r="E170" i="10"/>
  <c r="B171" i="10"/>
  <c r="B230" i="25"/>
  <c r="B231" i="25" s="1"/>
  <c r="E229" i="25"/>
  <c r="E171" i="10" l="1"/>
  <c r="B172" i="10"/>
  <c r="B232" i="25"/>
  <c r="E188" i="26"/>
  <c r="B189" i="26"/>
  <c r="E189" i="26" l="1"/>
  <c r="B190" i="26"/>
  <c r="B233" i="25"/>
  <c r="B234" i="25" s="1"/>
  <c r="E232" i="25"/>
  <c r="B173" i="10"/>
  <c r="B174" i="10" s="1"/>
  <c r="E172" i="10"/>
  <c r="B175" i="10" l="1"/>
  <c r="B235" i="25"/>
  <c r="B191" i="26"/>
  <c r="B192" i="26" s="1"/>
  <c r="E190" i="26"/>
  <c r="B193" i="26" l="1"/>
  <c r="B236" i="25"/>
  <c r="B237" i="25" s="1"/>
  <c r="E235" i="25"/>
  <c r="E175" i="10"/>
  <c r="B176" i="10"/>
  <c r="E176" i="10" l="1"/>
  <c r="B177" i="10"/>
  <c r="B238" i="25"/>
  <c r="E193" i="26"/>
  <c r="B194" i="26"/>
  <c r="B195" i="26" l="1"/>
  <c r="E194" i="26"/>
  <c r="B239" i="25"/>
  <c r="B240" i="25" s="1"/>
  <c r="E238" i="25"/>
  <c r="E177" i="10"/>
  <c r="B178" i="10"/>
  <c r="B241" i="25" l="1"/>
  <c r="B179" i="10"/>
  <c r="E178" i="10"/>
  <c r="B196" i="26"/>
  <c r="E195" i="26"/>
  <c r="B197" i="26" l="1"/>
  <c r="B198" i="26" s="1"/>
  <c r="E196" i="26"/>
  <c r="B180" i="10"/>
  <c r="E179" i="10"/>
  <c r="B242" i="25"/>
  <c r="B243" i="25" s="1"/>
  <c r="E241" i="25"/>
  <c r="B244" i="25" l="1"/>
  <c r="E180" i="10"/>
  <c r="B181" i="10"/>
  <c r="B199" i="26"/>
  <c r="B200" i="26" l="1"/>
  <c r="E199" i="26"/>
  <c r="B182" i="10"/>
  <c r="E181" i="10"/>
  <c r="B245" i="25"/>
  <c r="B246" i="25" s="1"/>
  <c r="E244" i="25"/>
  <c r="B247" i="25" l="1"/>
  <c r="E182" i="10"/>
  <c r="B183" i="10"/>
  <c r="B201" i="26"/>
  <c r="E200" i="26"/>
  <c r="B202" i="26" l="1"/>
  <c r="E201" i="26"/>
  <c r="B184" i="10"/>
  <c r="E183" i="10"/>
  <c r="E247" i="25"/>
  <c r="B248" i="25"/>
  <c r="B249" i="25" s="1"/>
  <c r="B250" i="25" l="1"/>
  <c r="E184" i="10"/>
  <c r="B185" i="10"/>
  <c r="B186" i="10" s="1"/>
  <c r="B203" i="26"/>
  <c r="B204" i="26" s="1"/>
  <c r="E202" i="26"/>
  <c r="B205" i="26" l="1"/>
  <c r="B187" i="10"/>
  <c r="B251" i="25"/>
  <c r="B252" i="25" s="1"/>
  <c r="E250" i="25"/>
  <c r="B253" i="25" l="1"/>
  <c r="B188" i="10"/>
  <c r="E187" i="10"/>
  <c r="B206" i="26"/>
  <c r="E205" i="26"/>
  <c r="B207" i="26" l="1"/>
  <c r="E206" i="26"/>
  <c r="E188" i="10"/>
  <c r="B189" i="10"/>
  <c r="B254" i="25"/>
  <c r="B255" i="25" s="1"/>
  <c r="E253" i="25"/>
  <c r="E189" i="10" l="1"/>
  <c r="B190" i="10"/>
  <c r="B256" i="25"/>
  <c r="B208" i="26"/>
  <c r="E207" i="26"/>
  <c r="E208" i="26" l="1"/>
  <c r="B209" i="26"/>
  <c r="B210" i="26" s="1"/>
  <c r="B257" i="25"/>
  <c r="B258" i="25" s="1"/>
  <c r="E256" i="25"/>
  <c r="E190" i="10"/>
  <c r="B191" i="10"/>
  <c r="B259" i="25" l="1"/>
  <c r="B211" i="26"/>
  <c r="E191" i="10"/>
  <c r="B192" i="10"/>
  <c r="E192" i="10" l="1"/>
  <c r="B193" i="10"/>
  <c r="B212" i="26"/>
  <c r="E211" i="26"/>
  <c r="B260" i="25"/>
  <c r="B261" i="25" s="1"/>
  <c r="E259" i="25"/>
  <c r="B262" i="25" l="1"/>
  <c r="B213" i="26"/>
  <c r="E212" i="26"/>
  <c r="E193" i="10"/>
  <c r="B194" i="10"/>
  <c r="B195" i="10" l="1"/>
  <c r="E194" i="10"/>
  <c r="B214" i="26"/>
  <c r="E213" i="26"/>
  <c r="E262" i="25"/>
  <c r="B263" i="25"/>
  <c r="B264" i="25" s="1"/>
  <c r="B265" i="25" l="1"/>
  <c r="E214" i="26"/>
  <c r="B215" i="26"/>
  <c r="B216" i="26" s="1"/>
  <c r="B196" i="10"/>
  <c r="E195" i="10"/>
  <c r="B197" i="10" l="1"/>
  <c r="B198" i="10" s="1"/>
  <c r="E196" i="10"/>
  <c r="B217" i="26"/>
  <c r="B266" i="25"/>
  <c r="B267" i="25" s="1"/>
  <c r="E265" i="25"/>
  <c r="B268" i="25" l="1"/>
  <c r="E217" i="26"/>
  <c r="B218" i="26"/>
  <c r="B199" i="10"/>
  <c r="E199" i="10" l="1"/>
  <c r="B200" i="10"/>
  <c r="B219" i="26"/>
  <c r="E218" i="26"/>
  <c r="B269" i="25"/>
  <c r="B270" i="25" s="1"/>
  <c r="E268" i="25"/>
  <c r="B220" i="26" l="1"/>
  <c r="E219" i="26"/>
  <c r="E200" i="10"/>
  <c r="B201" i="10"/>
  <c r="B271" i="25"/>
  <c r="B272" i="25" l="1"/>
  <c r="B273" i="25" s="1"/>
  <c r="E271" i="25"/>
  <c r="B202" i="10"/>
  <c r="E201" i="10"/>
  <c r="B221" i="26"/>
  <c r="B222" i="26" s="1"/>
  <c r="E220" i="26"/>
  <c r="B223" i="26" l="1"/>
  <c r="E202" i="10"/>
  <c r="B203" i="10"/>
  <c r="B274" i="25"/>
  <c r="B204" i="10" l="1"/>
  <c r="E203" i="10"/>
  <c r="E274" i="25"/>
  <c r="B275" i="25"/>
  <c r="B276" i="25" s="1"/>
  <c r="B224" i="26"/>
  <c r="E223" i="26"/>
  <c r="B225" i="26" l="1"/>
  <c r="E224" i="26"/>
  <c r="B277" i="25"/>
  <c r="E204" i="10"/>
  <c r="B205" i="10"/>
  <c r="E205" i="10" l="1"/>
  <c r="B206" i="10"/>
  <c r="B278" i="25"/>
  <c r="B279" i="25" s="1"/>
  <c r="E277" i="25"/>
  <c r="B226" i="26"/>
  <c r="E225" i="26"/>
  <c r="B227" i="26" l="1"/>
  <c r="B228" i="26" s="1"/>
  <c r="E226" i="26"/>
  <c r="B280" i="25"/>
  <c r="E206" i="10"/>
  <c r="B207" i="10"/>
  <c r="B281" i="25" l="1"/>
  <c r="B282" i="25" s="1"/>
  <c r="E280" i="25"/>
  <c r="E207" i="10"/>
  <c r="B208" i="10"/>
  <c r="B229" i="26"/>
  <c r="B209" i="10" l="1"/>
  <c r="B210" i="10" s="1"/>
  <c r="E208" i="10"/>
  <c r="B230" i="26"/>
  <c r="E229" i="26"/>
  <c r="B283" i="25"/>
  <c r="B231" i="26" l="1"/>
  <c r="E230" i="26"/>
  <c r="E283" i="25"/>
  <c r="B284" i="25"/>
  <c r="B285" i="25" s="1"/>
  <c r="B211" i="10"/>
  <c r="B286" i="25" l="1"/>
  <c r="E211" i="10"/>
  <c r="B212" i="10"/>
  <c r="B232" i="26"/>
  <c r="E231" i="26"/>
  <c r="B233" i="26" l="1"/>
  <c r="B234" i="26" s="1"/>
  <c r="E232" i="26"/>
  <c r="E212" i="10"/>
  <c r="B213" i="10"/>
  <c r="B287" i="25"/>
  <c r="B288" i="25" s="1"/>
  <c r="E286" i="25"/>
  <c r="E213" i="10" l="1"/>
  <c r="B214" i="10"/>
  <c r="B289" i="25"/>
  <c r="B235" i="26"/>
  <c r="B236" i="26" l="1"/>
  <c r="E235" i="26"/>
  <c r="B290" i="25"/>
  <c r="B291" i="25" s="1"/>
  <c r="E289" i="25"/>
  <c r="E214" i="10"/>
  <c r="B215" i="10"/>
  <c r="E215" i="10" l="1"/>
  <c r="B216" i="10"/>
  <c r="B292" i="25"/>
  <c r="B237" i="26"/>
  <c r="E236" i="26"/>
  <c r="B238" i="26" l="1"/>
  <c r="E237" i="26"/>
  <c r="E292" i="25"/>
  <c r="B293" i="25"/>
  <c r="B294" i="25" s="1"/>
  <c r="E216" i="10"/>
  <c r="B217" i="10"/>
  <c r="B295" i="25" l="1"/>
  <c r="E217" i="10"/>
  <c r="B218" i="10"/>
  <c r="E238" i="26"/>
  <c r="B239" i="26"/>
  <c r="B240" i="26" s="1"/>
  <c r="B241" i="26" l="1"/>
  <c r="B219" i="10"/>
  <c r="E218" i="10"/>
  <c r="B296" i="25"/>
  <c r="B297" i="25" s="1"/>
  <c r="E295" i="25"/>
  <c r="B298" i="25" l="1"/>
  <c r="E219" i="10"/>
  <c r="B220" i="10"/>
  <c r="B242" i="26"/>
  <c r="E241" i="26"/>
  <c r="B243" i="26" l="1"/>
  <c r="E242" i="26"/>
  <c r="E220" i="10"/>
  <c r="B221" i="10"/>
  <c r="B222" i="10" s="1"/>
  <c r="E298" i="25"/>
  <c r="B299" i="25"/>
  <c r="B300" i="25" s="1"/>
  <c r="B301" i="25" l="1"/>
  <c r="B223" i="10"/>
  <c r="B244" i="26"/>
  <c r="E243" i="26"/>
  <c r="E223" i="10" l="1"/>
  <c r="B224" i="10"/>
  <c r="B245" i="26"/>
  <c r="B246" i="26" s="1"/>
  <c r="E244" i="26"/>
  <c r="B302" i="25"/>
  <c r="B303" i="25" s="1"/>
  <c r="E301" i="25"/>
  <c r="B304" i="25" l="1"/>
  <c r="B247" i="26"/>
  <c r="B225" i="10"/>
  <c r="E224" i="10"/>
  <c r="E225" i="10" l="1"/>
  <c r="B226" i="10"/>
  <c r="B248" i="26"/>
  <c r="E247" i="26"/>
  <c r="B305" i="25"/>
  <c r="B306" i="25" s="1"/>
  <c r="E304" i="25"/>
  <c r="B307" i="25" l="1"/>
  <c r="E248" i="26"/>
  <c r="B249" i="26"/>
  <c r="E226" i="10"/>
  <c r="B227" i="10"/>
  <c r="E227" i="10" l="1"/>
  <c r="B228" i="10"/>
  <c r="E249" i="26"/>
  <c r="B250" i="26"/>
  <c r="B308" i="25"/>
  <c r="B309" i="25" s="1"/>
  <c r="E307" i="25"/>
  <c r="B310" i="25" l="1"/>
  <c r="B251" i="26"/>
  <c r="B252" i="26" s="1"/>
  <c r="E250" i="26"/>
  <c r="B229" i="10"/>
  <c r="E228" i="10"/>
  <c r="B253" i="26" l="1"/>
  <c r="B230" i="10"/>
  <c r="E229" i="10"/>
  <c r="E310" i="25"/>
  <c r="B311" i="25"/>
  <c r="B312" i="25" s="1"/>
  <c r="B313" i="25" l="1"/>
  <c r="E230" i="10"/>
  <c r="B231" i="10"/>
  <c r="E253" i="26"/>
  <c r="B254" i="26"/>
  <c r="B255" i="26" l="1"/>
  <c r="E254" i="26"/>
  <c r="B232" i="10"/>
  <c r="E231" i="10"/>
  <c r="E313" i="25"/>
  <c r="B314" i="25"/>
  <c r="B315" i="25" s="1"/>
  <c r="B316" i="25" l="1"/>
  <c r="B233" i="10"/>
  <c r="B234" i="10" s="1"/>
  <c r="E232" i="10"/>
  <c r="E255" i="26"/>
  <c r="B256" i="26"/>
  <c r="B235" i="10" l="1"/>
  <c r="B257" i="26"/>
  <c r="B258" i="26" s="1"/>
  <c r="E256" i="26"/>
  <c r="B317" i="25"/>
  <c r="B318" i="25" s="1"/>
  <c r="B319" i="25" s="1"/>
  <c r="E316" i="25"/>
  <c r="B320" i="25" l="1"/>
  <c r="B321" i="25" s="1"/>
  <c r="B322" i="25" s="1"/>
  <c r="E319" i="25"/>
  <c r="B259" i="26"/>
  <c r="B236" i="10"/>
  <c r="E235" i="10"/>
  <c r="B323" i="25" l="1"/>
  <c r="B324" i="25" s="1"/>
  <c r="B325" i="25" s="1"/>
  <c r="E322" i="25"/>
  <c r="B237" i="10"/>
  <c r="E236" i="10"/>
  <c r="B260" i="26"/>
  <c r="E259" i="26"/>
  <c r="B326" i="25" l="1"/>
  <c r="B327" i="25" s="1"/>
  <c r="B328" i="25" s="1"/>
  <c r="E325" i="25"/>
  <c r="E260" i="26"/>
  <c r="B261" i="26"/>
  <c r="E237" i="10"/>
  <c r="B238" i="10"/>
  <c r="B329" i="25" l="1"/>
  <c r="B330" i="25" s="1"/>
  <c r="B331" i="25" s="1"/>
  <c r="E328" i="25"/>
  <c r="E261" i="26"/>
  <c r="B262" i="26"/>
  <c r="B239" i="10"/>
  <c r="E238" i="10"/>
  <c r="B332" i="25" l="1"/>
  <c r="B333" i="25" s="1"/>
  <c r="B334" i="25" s="1"/>
  <c r="E331" i="25"/>
  <c r="B240" i="10"/>
  <c r="E239" i="10"/>
  <c r="B263" i="26"/>
  <c r="B264" i="26" s="1"/>
  <c r="E262" i="26"/>
  <c r="B335" i="25" l="1"/>
  <c r="B336" i="25" s="1"/>
  <c r="B337" i="25" s="1"/>
  <c r="E334" i="25"/>
  <c r="B265" i="26"/>
  <c r="E240" i="10"/>
  <c r="B241" i="10"/>
  <c r="B338" i="25" l="1"/>
  <c r="B339" i="25" s="1"/>
  <c r="B340" i="25" s="1"/>
  <c r="E337" i="25"/>
  <c r="B242" i="10"/>
  <c r="E241" i="10"/>
  <c r="B266" i="26"/>
  <c r="E265" i="26"/>
  <c r="B341" i="25" l="1"/>
  <c r="B342" i="25" s="1"/>
  <c r="B343" i="25" s="1"/>
  <c r="E340" i="25"/>
  <c r="E266" i="26"/>
  <c r="B267" i="26"/>
  <c r="B243" i="10"/>
  <c r="E242" i="10"/>
  <c r="B344" i="25" l="1"/>
  <c r="B345" i="25" s="1"/>
  <c r="B346" i="25" s="1"/>
  <c r="E343" i="25"/>
  <c r="B244" i="10"/>
  <c r="E243" i="10"/>
  <c r="B268" i="26"/>
  <c r="E267" i="26"/>
  <c r="B347" i="25" l="1"/>
  <c r="B348" i="25" s="1"/>
  <c r="B349" i="25" s="1"/>
  <c r="E346" i="25"/>
  <c r="B269" i="26"/>
  <c r="B270" i="26" s="1"/>
  <c r="E268" i="26"/>
  <c r="B245" i="10"/>
  <c r="B246" i="10" s="1"/>
  <c r="E244" i="10"/>
  <c r="B350" i="25" l="1"/>
  <c r="B351" i="25" s="1"/>
  <c r="B352" i="25" s="1"/>
  <c r="E349" i="25"/>
  <c r="B247" i="10"/>
  <c r="B271" i="26"/>
  <c r="B353" i="25" l="1"/>
  <c r="B354" i="25" s="1"/>
  <c r="B355" i="25" s="1"/>
  <c r="E352" i="25"/>
  <c r="B272" i="26"/>
  <c r="E271" i="26"/>
  <c r="E247" i="10"/>
  <c r="B248" i="10"/>
  <c r="B356" i="25" l="1"/>
  <c r="B357" i="25" s="1"/>
  <c r="B358" i="25" s="1"/>
  <c r="E355" i="25"/>
  <c r="E248" i="10"/>
  <c r="B249" i="10"/>
  <c r="E272" i="26"/>
  <c r="B273" i="26"/>
  <c r="B359" i="25" l="1"/>
  <c r="B360" i="25" s="1"/>
  <c r="B361" i="25" s="1"/>
  <c r="E358" i="25"/>
  <c r="B274" i="26"/>
  <c r="E273" i="26"/>
  <c r="E249" i="10"/>
  <c r="B250" i="10"/>
  <c r="B362" i="25" l="1"/>
  <c r="B363" i="25" s="1"/>
  <c r="B364" i="25" s="1"/>
  <c r="E361" i="25"/>
  <c r="B251" i="10"/>
  <c r="E250" i="10"/>
  <c r="E274" i="26"/>
  <c r="B275" i="26"/>
  <c r="B276" i="26" s="1"/>
  <c r="B365" i="25" l="1"/>
  <c r="B366" i="25" s="1"/>
  <c r="B367" i="25" s="1"/>
  <c r="E364" i="25"/>
  <c r="B277" i="26"/>
  <c r="B252" i="10"/>
  <c r="E251" i="10"/>
  <c r="B368" i="25" l="1"/>
  <c r="B369" i="25" s="1"/>
  <c r="B370" i="25" s="1"/>
  <c r="E367" i="25"/>
  <c r="E252" i="10"/>
  <c r="B253" i="10"/>
  <c r="B278" i="26"/>
  <c r="E277" i="26"/>
  <c r="B371" i="25" l="1"/>
  <c r="B372" i="25" s="1"/>
  <c r="B373" i="25" s="1"/>
  <c r="E370" i="25"/>
  <c r="B279" i="26"/>
  <c r="E278" i="26"/>
  <c r="B254" i="10"/>
  <c r="E253" i="10"/>
  <c r="B374" i="25" l="1"/>
  <c r="B375" i="25" s="1"/>
  <c r="B376" i="25" s="1"/>
  <c r="E373" i="25"/>
  <c r="B255" i="10"/>
  <c r="E254" i="10"/>
  <c r="B280" i="26"/>
  <c r="E279" i="26"/>
  <c r="B377" i="25" l="1"/>
  <c r="B378" i="25" s="1"/>
  <c r="B379" i="25" s="1"/>
  <c r="E376" i="25"/>
  <c r="B281" i="26"/>
  <c r="B282" i="26" s="1"/>
  <c r="E280" i="26"/>
  <c r="E255" i="10"/>
  <c r="B256" i="10"/>
  <c r="B380" i="25" l="1"/>
  <c r="B381" i="25" s="1"/>
  <c r="B382" i="25" s="1"/>
  <c r="E379" i="25"/>
  <c r="B257" i="10"/>
  <c r="B258" i="10" s="1"/>
  <c r="E256" i="10"/>
  <c r="B283" i="26"/>
  <c r="B383" i="25" l="1"/>
  <c r="B384" i="25" s="1"/>
  <c r="B385" i="25" s="1"/>
  <c r="E382" i="25"/>
  <c r="B284" i="26"/>
  <c r="E283" i="26"/>
  <c r="B259" i="10"/>
  <c r="B386" i="25" l="1"/>
  <c r="B387" i="25" s="1"/>
  <c r="B388" i="25" s="1"/>
  <c r="E385" i="25"/>
  <c r="B260" i="10"/>
  <c r="E259" i="10"/>
  <c r="B285" i="26"/>
  <c r="E284" i="26"/>
  <c r="B389" i="25" l="1"/>
  <c r="B390" i="25" s="1"/>
  <c r="B391" i="25" s="1"/>
  <c r="E388" i="25"/>
  <c r="E285" i="26"/>
  <c r="B286" i="26"/>
  <c r="E260" i="10"/>
  <c r="B261" i="10"/>
  <c r="E391" i="25" l="1"/>
  <c r="B392" i="25"/>
  <c r="B393" i="25" s="1"/>
  <c r="B394" i="25" s="1"/>
  <c r="B262" i="10"/>
  <c r="E261" i="10"/>
  <c r="B287" i="26"/>
  <c r="B288" i="26" s="1"/>
  <c r="E286" i="26"/>
  <c r="B395" i="25" l="1"/>
  <c r="B396" i="25" s="1"/>
  <c r="B397" i="25" s="1"/>
  <c r="E394" i="25"/>
  <c r="B289" i="26"/>
  <c r="B263" i="10"/>
  <c r="E262" i="10"/>
  <c r="B398" i="25" l="1"/>
  <c r="B399" i="25" s="1"/>
  <c r="B400" i="25" s="1"/>
  <c r="E397" i="25"/>
  <c r="E263" i="10"/>
  <c r="B264" i="10"/>
  <c r="B290" i="26"/>
  <c r="E289" i="26"/>
  <c r="E400" i="25" l="1"/>
  <c r="B401" i="25"/>
  <c r="B402" i="25" s="1"/>
  <c r="B403" i="25" s="1"/>
  <c r="E290" i="26"/>
  <c r="B291" i="26"/>
  <c r="E264" i="10"/>
  <c r="B265" i="10"/>
  <c r="B404" i="25" l="1"/>
  <c r="B405" i="25" s="1"/>
  <c r="B406" i="25" s="1"/>
  <c r="E403" i="25"/>
  <c r="E265" i="10"/>
  <c r="B266" i="10"/>
  <c r="B292" i="26"/>
  <c r="E291" i="26"/>
  <c r="B407" i="25" l="1"/>
  <c r="B408" i="25" s="1"/>
  <c r="B409" i="25" s="1"/>
  <c r="E406" i="25"/>
  <c r="B293" i="26"/>
  <c r="B294" i="26" s="1"/>
  <c r="E292" i="26"/>
  <c r="E266" i="10"/>
  <c r="B267" i="10"/>
  <c r="B410" i="25" l="1"/>
  <c r="B411" i="25" s="1"/>
  <c r="B412" i="25" s="1"/>
  <c r="E409" i="25"/>
  <c r="B268" i="10"/>
  <c r="E267" i="10"/>
  <c r="B295" i="26"/>
  <c r="E412" i="25" l="1"/>
  <c r="B413" i="25"/>
  <c r="B414" i="25" s="1"/>
  <c r="B415" i="25" s="1"/>
  <c r="B296" i="26"/>
  <c r="E295" i="26"/>
  <c r="B269" i="10"/>
  <c r="B270" i="10" s="1"/>
  <c r="E268" i="10"/>
  <c r="B416" i="25" l="1"/>
  <c r="B417" i="25" s="1"/>
  <c r="B418" i="25" s="1"/>
  <c r="E415" i="25"/>
  <c r="B271" i="10"/>
  <c r="B297" i="26"/>
  <c r="E296" i="26"/>
  <c r="B419" i="25" l="1"/>
  <c r="B420" i="25" s="1"/>
  <c r="B421" i="25" s="1"/>
  <c r="E418" i="25"/>
  <c r="E297" i="26"/>
  <c r="B298" i="26"/>
  <c r="E271" i="10"/>
  <c r="B272" i="10"/>
  <c r="E421" i="25" l="1"/>
  <c r="B422" i="25"/>
  <c r="B423" i="25" s="1"/>
  <c r="B424" i="25" s="1"/>
  <c r="B273" i="10"/>
  <c r="E272" i="10"/>
  <c r="B299" i="26"/>
  <c r="B300" i="26" s="1"/>
  <c r="E298" i="26"/>
  <c r="B425" i="25" l="1"/>
  <c r="B426" i="25" s="1"/>
  <c r="B427" i="25" s="1"/>
  <c r="E424" i="25"/>
  <c r="B301" i="26"/>
  <c r="E273" i="10"/>
  <c r="B274" i="10"/>
  <c r="E427" i="25" l="1"/>
  <c r="B428" i="25"/>
  <c r="B429" i="25" s="1"/>
  <c r="B430" i="25" s="1"/>
  <c r="E274" i="10"/>
  <c r="B275" i="10"/>
  <c r="E301" i="26"/>
  <c r="B302" i="26"/>
  <c r="B431" i="25" l="1"/>
  <c r="B432" i="25" s="1"/>
  <c r="B433" i="25" s="1"/>
  <c r="E430" i="25"/>
  <c r="E275" i="10"/>
  <c r="B276" i="10"/>
  <c r="B303" i="26"/>
  <c r="E302" i="26"/>
  <c r="E433" i="25" l="1"/>
  <c r="B434" i="25"/>
  <c r="B435" i="25" s="1"/>
  <c r="B436" i="25" s="1"/>
  <c r="B304" i="26"/>
  <c r="E303" i="26"/>
  <c r="B277" i="10"/>
  <c r="E276" i="10"/>
  <c r="E436" i="25" l="1"/>
  <c r="B437" i="25"/>
  <c r="B438" i="25" s="1"/>
  <c r="B439" i="25" s="1"/>
  <c r="E277" i="10"/>
  <c r="B278" i="10"/>
  <c r="B305" i="26"/>
  <c r="B306" i="26" s="1"/>
  <c r="E304" i="26"/>
  <c r="E439" i="25" l="1"/>
  <c r="B440" i="25"/>
  <c r="B441" i="25" s="1"/>
  <c r="B442" i="25" s="1"/>
  <c r="B307" i="26"/>
  <c r="B279" i="10"/>
  <c r="E278" i="10"/>
  <c r="B443" i="25" l="1"/>
  <c r="B444" i="25" s="1"/>
  <c r="B445" i="25" s="1"/>
  <c r="E442" i="25"/>
  <c r="B280" i="10"/>
  <c r="E279" i="10"/>
  <c r="E307" i="26"/>
  <c r="B308" i="26"/>
  <c r="E445" i="25" l="1"/>
  <c r="B446" i="25"/>
  <c r="B447" i="25" s="1"/>
  <c r="B448" i="25" s="1"/>
  <c r="B309" i="26"/>
  <c r="E308" i="26"/>
  <c r="B281" i="10"/>
  <c r="B282" i="10" s="1"/>
  <c r="E280" i="10"/>
  <c r="E448" i="25" l="1"/>
  <c r="B449" i="25"/>
  <c r="B450" i="25" s="1"/>
  <c r="B451" i="25" s="1"/>
  <c r="B283" i="10"/>
  <c r="B310" i="26"/>
  <c r="E309" i="26"/>
  <c r="B452" i="25" l="1"/>
  <c r="B453" i="25" s="1"/>
  <c r="B454" i="25" s="1"/>
  <c r="E451" i="25"/>
  <c r="B311" i="26"/>
  <c r="B312" i="26" s="1"/>
  <c r="E310" i="26"/>
  <c r="E283" i="10"/>
  <c r="B284" i="10"/>
  <c r="E454" i="25" l="1"/>
  <c r="B455" i="25"/>
  <c r="B456" i="25" s="1"/>
  <c r="B457" i="25" s="1"/>
  <c r="E284" i="10"/>
  <c r="B285" i="10"/>
  <c r="B313" i="26"/>
  <c r="B458" i="25" l="1"/>
  <c r="B459" i="25" s="1"/>
  <c r="B460" i="25" s="1"/>
  <c r="E457" i="25"/>
  <c r="E313" i="26"/>
  <c r="B314" i="26"/>
  <c r="B286" i="10"/>
  <c r="E285" i="10"/>
  <c r="E460" i="25" l="1"/>
  <c r="B461" i="25"/>
  <c r="B462" i="25" s="1"/>
  <c r="B463" i="25" s="1"/>
  <c r="B287" i="10"/>
  <c r="E286" i="10"/>
  <c r="B315" i="26"/>
  <c r="E314" i="26"/>
  <c r="B464" i="25" l="1"/>
  <c r="B465" i="25" s="1"/>
  <c r="B466" i="25" s="1"/>
  <c r="E463" i="25"/>
  <c r="B316" i="26"/>
  <c r="E315" i="26"/>
  <c r="E287" i="10"/>
  <c r="B288" i="10"/>
  <c r="E466" i="25" l="1"/>
  <c r="B467" i="25"/>
  <c r="B468" i="25" s="1"/>
  <c r="B469" i="25" s="1"/>
  <c r="B289" i="10"/>
  <c r="E288" i="10"/>
  <c r="B317" i="26"/>
  <c r="B318" i="26" s="1"/>
  <c r="E316" i="26"/>
  <c r="E469" i="25" l="1"/>
  <c r="B470" i="25"/>
  <c r="B471" i="25" s="1"/>
  <c r="B472" i="25" s="1"/>
  <c r="B319" i="26"/>
  <c r="B290" i="10"/>
  <c r="E289" i="10"/>
  <c r="E472" i="25" l="1"/>
  <c r="B473" i="25"/>
  <c r="B474" i="25" s="1"/>
  <c r="B475" i="25" s="1"/>
  <c r="B320" i="26"/>
  <c r="E319" i="26"/>
  <c r="E290" i="10"/>
  <c r="B291" i="10"/>
  <c r="B476" i="25" l="1"/>
  <c r="B477" i="25" s="1"/>
  <c r="B478" i="25" s="1"/>
  <c r="E475" i="25"/>
  <c r="B321" i="26"/>
  <c r="E320" i="26"/>
  <c r="E291" i="10"/>
  <c r="B292" i="10"/>
  <c r="E478" i="25" l="1"/>
  <c r="B479" i="25"/>
  <c r="B480" i="25" s="1"/>
  <c r="B481" i="25" s="1"/>
  <c r="B322" i="26"/>
  <c r="E321" i="26"/>
  <c r="E292" i="10"/>
  <c r="B293" i="10"/>
  <c r="B294" i="10" s="1"/>
  <c r="B482" i="25" l="1"/>
  <c r="B483" i="25" s="1"/>
  <c r="B484" i="25" s="1"/>
  <c r="E481" i="25"/>
  <c r="B323" i="26"/>
  <c r="B324" i="26" s="1"/>
  <c r="E322" i="26"/>
  <c r="B295" i="10"/>
  <c r="B485" i="25" l="1"/>
  <c r="B486" i="25" s="1"/>
  <c r="B487" i="25" s="1"/>
  <c r="E484" i="25"/>
  <c r="B325" i="26"/>
  <c r="B296" i="10"/>
  <c r="E295" i="10"/>
  <c r="B488" i="25" l="1"/>
  <c r="B489" i="25" s="1"/>
  <c r="B490" i="25" s="1"/>
  <c r="E487" i="25"/>
  <c r="B326" i="26"/>
  <c r="E325" i="26"/>
  <c r="B297" i="10"/>
  <c r="E296" i="10"/>
  <c r="B491" i="25" l="1"/>
  <c r="B492" i="25" s="1"/>
  <c r="B493" i="25" s="1"/>
  <c r="E490" i="25"/>
  <c r="B327" i="26"/>
  <c r="E326" i="26"/>
  <c r="B298" i="10"/>
  <c r="E297" i="10"/>
  <c r="B494" i="25" l="1"/>
  <c r="B495" i="25" s="1"/>
  <c r="B496" i="25" s="1"/>
  <c r="E493" i="25"/>
  <c r="B328" i="26"/>
  <c r="E327" i="26"/>
  <c r="B299" i="10"/>
  <c r="E298" i="10"/>
  <c r="B497" i="25" l="1"/>
  <c r="E496" i="25"/>
  <c r="B329" i="26"/>
  <c r="B330" i="26" s="1"/>
  <c r="E328" i="26"/>
  <c r="E299" i="10"/>
  <c r="B300" i="10"/>
  <c r="B331" i="26" l="1"/>
  <c r="E300" i="10"/>
  <c r="B301" i="10"/>
  <c r="B332" i="26" l="1"/>
  <c r="E331" i="26"/>
  <c r="E301" i="10"/>
  <c r="B302" i="10"/>
  <c r="B333" i="26" l="1"/>
  <c r="E332" i="26"/>
  <c r="E302" i="10"/>
  <c r="B303" i="10"/>
  <c r="B334" i="26" l="1"/>
  <c r="E333" i="26"/>
  <c r="E303" i="10"/>
  <c r="B304" i="10"/>
  <c r="B335" i="26" l="1"/>
  <c r="B336" i="26" s="1"/>
  <c r="E334" i="26"/>
  <c r="E304" i="10"/>
  <c r="B305" i="10"/>
  <c r="B306" i="10" s="1"/>
  <c r="B337" i="26" l="1"/>
  <c r="B307" i="10"/>
  <c r="B338" i="26" l="1"/>
  <c r="E337" i="26"/>
  <c r="B308" i="10"/>
  <c r="E307" i="10"/>
  <c r="B339" i="26" l="1"/>
  <c r="E338" i="26"/>
  <c r="B309" i="10"/>
  <c r="E308" i="10"/>
  <c r="B340" i="26" l="1"/>
  <c r="E339" i="26"/>
  <c r="E309" i="10"/>
  <c r="B310" i="10"/>
  <c r="B341" i="26" l="1"/>
  <c r="B342" i="26" s="1"/>
  <c r="E340" i="26"/>
  <c r="E310" i="10"/>
  <c r="B311" i="10"/>
  <c r="B343" i="26" l="1"/>
  <c r="E311" i="10"/>
  <c r="B312" i="10"/>
  <c r="B344" i="26" l="1"/>
  <c r="E343" i="26"/>
  <c r="E312" i="10"/>
  <c r="B313" i="10"/>
  <c r="B345" i="26" l="1"/>
  <c r="E344" i="26"/>
  <c r="B314" i="10"/>
  <c r="E313" i="10"/>
  <c r="B346" i="26" l="1"/>
  <c r="E345" i="26"/>
  <c r="E314" i="10"/>
  <c r="B315" i="10"/>
  <c r="B347" i="26" l="1"/>
  <c r="B348" i="26" s="1"/>
  <c r="E346" i="26"/>
  <c r="E315" i="10"/>
  <c r="B316" i="10"/>
  <c r="B349" i="26" l="1"/>
  <c r="E316" i="10"/>
  <c r="B317" i="10"/>
  <c r="B318" i="10" s="1"/>
  <c r="B319" i="10" s="1"/>
  <c r="E319" i="10" s="1"/>
  <c r="B350" i="26" l="1"/>
  <c r="E349" i="26"/>
  <c r="B320" i="10"/>
  <c r="E320" i="10" s="1"/>
  <c r="B351" i="26" l="1"/>
  <c r="E350" i="26"/>
  <c r="B321" i="10"/>
  <c r="E321" i="10" s="1"/>
  <c r="B352" i="26" l="1"/>
  <c r="E351" i="26"/>
  <c r="B322" i="10"/>
  <c r="E322" i="10" s="1"/>
  <c r="B353" i="26" l="1"/>
  <c r="B354" i="26" s="1"/>
  <c r="E352" i="26"/>
  <c r="B323" i="10"/>
  <c r="E323" i="10" s="1"/>
  <c r="B355" i="26" l="1"/>
  <c r="B324" i="10"/>
  <c r="E324" i="10" s="1"/>
  <c r="B356" i="26" l="1"/>
  <c r="E355" i="26"/>
  <c r="B325" i="10"/>
  <c r="E325" i="10" s="1"/>
  <c r="B357" i="26" l="1"/>
  <c r="E356" i="26"/>
  <c r="B326" i="10"/>
  <c r="E326" i="10" s="1"/>
  <c r="B358" i="26" l="1"/>
  <c r="E357" i="26"/>
  <c r="B327" i="10"/>
  <c r="E327" i="10" s="1"/>
  <c r="B359" i="26" l="1"/>
  <c r="B360" i="26" s="1"/>
  <c r="E358" i="26"/>
  <c r="B328" i="10"/>
  <c r="E328" i="10" s="1"/>
  <c r="B361" i="26" l="1"/>
  <c r="B329" i="10"/>
  <c r="B362" i="26" l="1"/>
  <c r="E361" i="26"/>
  <c r="B330" i="10"/>
  <c r="B363" i="26" l="1"/>
  <c r="E362" i="26"/>
  <c r="B331" i="10"/>
  <c r="E331" i="10" s="1"/>
  <c r="B364" i="26" l="1"/>
  <c r="E363" i="26"/>
  <c r="B332" i="10"/>
  <c r="E332" i="10" s="1"/>
  <c r="B365" i="26" l="1"/>
  <c r="B366" i="26" s="1"/>
  <c r="E364" i="26"/>
  <c r="B333" i="10"/>
  <c r="E333" i="10" s="1"/>
  <c r="B367" i="26" l="1"/>
  <c r="B334" i="10"/>
  <c r="E334" i="10" s="1"/>
  <c r="B368" i="26" l="1"/>
  <c r="E367" i="26"/>
  <c r="B335" i="10"/>
  <c r="E335" i="10" s="1"/>
  <c r="B369" i="26" l="1"/>
  <c r="E368" i="26"/>
  <c r="B336" i="10"/>
  <c r="E336" i="10" s="1"/>
  <c r="B370" i="26" l="1"/>
  <c r="E369" i="26"/>
  <c r="B337" i="10"/>
  <c r="E337" i="10" s="1"/>
  <c r="B371" i="26" l="1"/>
  <c r="B372" i="26" s="1"/>
  <c r="E370" i="26"/>
  <c r="B338" i="10"/>
  <c r="E338" i="10" s="1"/>
  <c r="B373" i="26" l="1"/>
  <c r="B339" i="10"/>
  <c r="E339" i="10" s="1"/>
  <c r="B374" i="26" l="1"/>
  <c r="E373" i="26"/>
  <c r="B340" i="10"/>
  <c r="E340" i="10" s="1"/>
  <c r="B375" i="26" l="1"/>
  <c r="E374" i="26"/>
  <c r="B341" i="10"/>
  <c r="B376" i="26" l="1"/>
  <c r="E375" i="26"/>
  <c r="B342" i="10"/>
  <c r="B377" i="26" l="1"/>
  <c r="B378" i="26" s="1"/>
  <c r="E376" i="26"/>
  <c r="B343" i="10"/>
  <c r="E343" i="10" s="1"/>
  <c r="B379" i="26" l="1"/>
  <c r="B344" i="10"/>
  <c r="E344" i="10" s="1"/>
  <c r="B380" i="26" l="1"/>
  <c r="E379" i="26"/>
  <c r="B345" i="10"/>
  <c r="E345" i="10" s="1"/>
  <c r="E380" i="26" l="1"/>
  <c r="B381" i="26"/>
  <c r="B346" i="10"/>
  <c r="E346" i="10" s="1"/>
  <c r="B382" i="26" l="1"/>
  <c r="E381" i="26"/>
  <c r="B347" i="10"/>
  <c r="E347" i="10" s="1"/>
  <c r="B383" i="26" l="1"/>
  <c r="B384" i="26" s="1"/>
  <c r="E382" i="26"/>
  <c r="B348" i="10"/>
  <c r="E348" i="10" s="1"/>
  <c r="B385" i="26" l="1"/>
  <c r="B349" i="10"/>
  <c r="E349" i="10" s="1"/>
  <c r="B386" i="26" l="1"/>
  <c r="E385" i="26"/>
  <c r="B350" i="10"/>
  <c r="E350" i="10" s="1"/>
  <c r="B387" i="26" l="1"/>
  <c r="E386" i="26"/>
  <c r="B351" i="10"/>
  <c r="E351" i="10" s="1"/>
  <c r="B388" i="26" l="1"/>
  <c r="E387" i="26"/>
  <c r="B352" i="10"/>
  <c r="E352" i="10" s="1"/>
  <c r="B389" i="26" l="1"/>
  <c r="B390" i="26" s="1"/>
  <c r="E388" i="26"/>
  <c r="B353" i="10"/>
  <c r="B391" i="26" l="1"/>
  <c r="B354" i="10"/>
  <c r="B392" i="26" l="1"/>
  <c r="E391" i="26"/>
  <c r="B355" i="10"/>
  <c r="E355" i="10" s="1"/>
  <c r="B393" i="26" l="1"/>
  <c r="E392" i="26"/>
  <c r="B356" i="10"/>
  <c r="E356" i="10" s="1"/>
  <c r="B394" i="26" l="1"/>
  <c r="E393" i="26"/>
  <c r="B357" i="10"/>
  <c r="E357" i="10" s="1"/>
  <c r="B395" i="26" l="1"/>
  <c r="B396" i="26" s="1"/>
  <c r="E394" i="26"/>
  <c r="B358" i="10"/>
  <c r="E358" i="10" s="1"/>
  <c r="B397" i="26" l="1"/>
  <c r="B359" i="10"/>
  <c r="E359" i="10" s="1"/>
  <c r="B398" i="26" l="1"/>
  <c r="E397" i="26"/>
  <c r="B360" i="10"/>
  <c r="E360" i="10" s="1"/>
  <c r="B399" i="26" l="1"/>
  <c r="E398" i="26"/>
  <c r="B361" i="10"/>
  <c r="E361" i="10" s="1"/>
  <c r="B400" i="26" l="1"/>
  <c r="E399" i="26"/>
  <c r="B362" i="10"/>
  <c r="E362" i="10" s="1"/>
  <c r="E400" i="26" l="1"/>
  <c r="B401" i="26"/>
  <c r="B402" i="26" s="1"/>
  <c r="B363" i="10"/>
  <c r="E363" i="10" s="1"/>
  <c r="B403" i="26" l="1"/>
  <c r="B364" i="10"/>
  <c r="E364" i="10" s="1"/>
  <c r="B404" i="26" l="1"/>
  <c r="E403" i="26"/>
  <c r="B365" i="10"/>
  <c r="B405" i="26" l="1"/>
  <c r="E404" i="26"/>
  <c r="B366" i="10"/>
  <c r="B406" i="26" l="1"/>
  <c r="E405" i="26"/>
  <c r="B367" i="10"/>
  <c r="E367" i="10" s="1"/>
  <c r="B407" i="26" l="1"/>
  <c r="B408" i="26" s="1"/>
  <c r="E406" i="26"/>
  <c r="B368" i="10"/>
  <c r="E368" i="10" s="1"/>
  <c r="B409" i="26" l="1"/>
  <c r="B369" i="10"/>
  <c r="E369" i="10" s="1"/>
  <c r="B410" i="26" l="1"/>
  <c r="E409" i="26"/>
  <c r="B370" i="10"/>
  <c r="E370" i="10" s="1"/>
  <c r="B411" i="26" l="1"/>
  <c r="E410" i="26"/>
  <c r="B371" i="10"/>
  <c r="E371" i="10" s="1"/>
  <c r="E411" i="26" l="1"/>
  <c r="B412" i="26"/>
  <c r="B372" i="10"/>
  <c r="E372" i="10" s="1"/>
  <c r="B413" i="26" l="1"/>
  <c r="B414" i="26" s="1"/>
  <c r="E412" i="26"/>
  <c r="B373" i="10"/>
  <c r="E373" i="10" s="1"/>
  <c r="B415" i="26" l="1"/>
  <c r="B374" i="10"/>
  <c r="E374" i="10" s="1"/>
  <c r="B416" i="26" l="1"/>
  <c r="E415" i="26"/>
  <c r="B375" i="10"/>
  <c r="E375" i="10" s="1"/>
  <c r="B417" i="26" l="1"/>
  <c r="E416" i="26"/>
  <c r="B376" i="10"/>
  <c r="E376" i="10" s="1"/>
  <c r="E417" i="26" l="1"/>
  <c r="B418" i="26"/>
  <c r="B377" i="10"/>
  <c r="B419" i="26" l="1"/>
  <c r="B420" i="26" s="1"/>
  <c r="B421" i="26" s="1"/>
  <c r="E418" i="26"/>
  <c r="B378" i="10"/>
  <c r="B422" i="26" l="1"/>
  <c r="E421" i="26"/>
  <c r="B379" i="10"/>
  <c r="E379" i="10" s="1"/>
  <c r="B423" i="26" l="1"/>
  <c r="E422" i="26"/>
  <c r="B380" i="10"/>
  <c r="E380" i="10" s="1"/>
  <c r="B424" i="26" l="1"/>
  <c r="E423" i="26"/>
  <c r="B381" i="10"/>
  <c r="E381" i="10" s="1"/>
  <c r="B425" i="26" l="1"/>
  <c r="B426" i="26" s="1"/>
  <c r="B427" i="26" s="1"/>
  <c r="E424" i="26"/>
  <c r="B382" i="10"/>
  <c r="E382" i="10" s="1"/>
  <c r="B428" i="26" l="1"/>
  <c r="E427" i="26"/>
  <c r="B383" i="10"/>
  <c r="E383" i="10" s="1"/>
  <c r="B429" i="26" l="1"/>
  <c r="E428" i="26"/>
  <c r="B384" i="10"/>
  <c r="E384" i="10" s="1"/>
  <c r="B430" i="26" l="1"/>
  <c r="E429" i="26"/>
  <c r="B385" i="10"/>
  <c r="E385" i="10" s="1"/>
  <c r="B431" i="26" l="1"/>
  <c r="B432" i="26" s="1"/>
  <c r="B433" i="26" s="1"/>
  <c r="E430" i="26"/>
  <c r="B386" i="10"/>
  <c r="E386" i="10" s="1"/>
  <c r="B434" i="26" l="1"/>
  <c r="E433" i="26"/>
  <c r="B387" i="10"/>
  <c r="E387" i="10" s="1"/>
  <c r="B435" i="26" l="1"/>
  <c r="E434" i="26"/>
  <c r="B388" i="10"/>
  <c r="E388" i="10" s="1"/>
  <c r="B436" i="26" l="1"/>
  <c r="E435" i="26"/>
  <c r="B389" i="10"/>
  <c r="B437" i="26" l="1"/>
  <c r="B438" i="26" s="1"/>
  <c r="B439" i="26" s="1"/>
  <c r="E436" i="26"/>
  <c r="B390" i="10"/>
  <c r="B440" i="26" l="1"/>
  <c r="E439" i="26"/>
  <c r="B391" i="10"/>
  <c r="E391" i="10" s="1"/>
  <c r="B441" i="26" l="1"/>
  <c r="E440" i="26"/>
  <c r="B392" i="10"/>
  <c r="E392" i="10" s="1"/>
  <c r="B442" i="26" l="1"/>
  <c r="E441" i="26"/>
  <c r="B393" i="10"/>
  <c r="E393" i="10" s="1"/>
  <c r="B443" i="26" l="1"/>
  <c r="B444" i="26" s="1"/>
  <c r="B445" i="26" s="1"/>
  <c r="E442" i="26"/>
  <c r="B394" i="10"/>
  <c r="E394" i="10" s="1"/>
  <c r="B446" i="26" l="1"/>
  <c r="E445" i="26"/>
  <c r="B395" i="10"/>
  <c r="E395" i="10" s="1"/>
  <c r="B447" i="26" l="1"/>
  <c r="E446" i="26"/>
  <c r="B396" i="10"/>
  <c r="E396" i="10" s="1"/>
  <c r="B448" i="26" l="1"/>
  <c r="E447" i="26"/>
  <c r="B397" i="10"/>
  <c r="E397" i="10" s="1"/>
  <c r="B449" i="26" l="1"/>
  <c r="B450" i="26" s="1"/>
  <c r="B451" i="26" s="1"/>
  <c r="E448" i="26"/>
  <c r="B398" i="10"/>
  <c r="E398" i="10" s="1"/>
  <c r="B452" i="26" l="1"/>
  <c r="E451" i="26"/>
  <c r="B399" i="10"/>
  <c r="E399" i="10" s="1"/>
  <c r="B453" i="26" l="1"/>
  <c r="E452" i="26"/>
  <c r="B400" i="10"/>
  <c r="E400" i="10" s="1"/>
  <c r="B454" i="26" l="1"/>
  <c r="E453" i="26"/>
  <c r="B401" i="10"/>
  <c r="B455" i="26" l="1"/>
  <c r="B456" i="26" s="1"/>
  <c r="B457" i="26" s="1"/>
  <c r="E454" i="26"/>
  <c r="B402" i="10"/>
  <c r="B458" i="26" l="1"/>
  <c r="E457" i="26"/>
  <c r="B403" i="10"/>
  <c r="E403" i="10" s="1"/>
  <c r="B459" i="26" l="1"/>
  <c r="E458" i="26"/>
  <c r="B404" i="10"/>
  <c r="E404" i="10" s="1"/>
  <c r="B460" i="26" l="1"/>
  <c r="E459" i="26"/>
  <c r="B405" i="10"/>
  <c r="E405" i="10" s="1"/>
  <c r="B461" i="26" l="1"/>
  <c r="B462" i="26" s="1"/>
  <c r="B463" i="26" s="1"/>
  <c r="E460" i="26"/>
  <c r="B406" i="10"/>
  <c r="E406" i="10" s="1"/>
  <c r="B464" i="26" l="1"/>
  <c r="E463" i="26"/>
  <c r="B407" i="10"/>
  <c r="E407" i="10" s="1"/>
  <c r="B465" i="26" l="1"/>
  <c r="E464" i="26"/>
  <c r="B408" i="10"/>
  <c r="E408" i="10" s="1"/>
  <c r="B466" i="26" l="1"/>
  <c r="E465" i="26"/>
  <c r="B409" i="10"/>
  <c r="E409" i="10" s="1"/>
  <c r="B467" i="26" l="1"/>
  <c r="B468" i="26" s="1"/>
  <c r="B469" i="26" s="1"/>
  <c r="E466" i="26"/>
  <c r="B410" i="10"/>
  <c r="E410" i="10" s="1"/>
  <c r="B470" i="26" l="1"/>
  <c r="E469" i="26"/>
  <c r="B411" i="10"/>
  <c r="E411" i="10" s="1"/>
  <c r="B471" i="26" l="1"/>
  <c r="E470" i="26"/>
  <c r="B412" i="10"/>
  <c r="E412" i="10" s="1"/>
  <c r="B472" i="26" l="1"/>
  <c r="E471" i="26"/>
  <c r="B413" i="10"/>
  <c r="B473" i="26" l="1"/>
  <c r="B474" i="26" s="1"/>
  <c r="B475" i="26" s="1"/>
  <c r="E472" i="26"/>
  <c r="B414" i="10"/>
  <c r="B476" i="26" l="1"/>
  <c r="E475" i="26"/>
  <c r="B415" i="10"/>
  <c r="E415" i="10" s="1"/>
  <c r="B477" i="26" l="1"/>
  <c r="E476" i="26"/>
  <c r="B416" i="10"/>
  <c r="E416" i="10" s="1"/>
  <c r="B478" i="26" l="1"/>
  <c r="E477" i="26"/>
  <c r="B417" i="10"/>
  <c r="E417" i="10" s="1"/>
  <c r="B479" i="26" l="1"/>
  <c r="B480" i="26" s="1"/>
  <c r="B481" i="26" s="1"/>
  <c r="E478" i="26"/>
  <c r="B418" i="10"/>
  <c r="E418" i="10" s="1"/>
  <c r="B482" i="26" l="1"/>
  <c r="E481" i="26"/>
  <c r="B419" i="10"/>
  <c r="E419" i="10" s="1"/>
  <c r="B483" i="26" l="1"/>
  <c r="E482" i="26"/>
  <c r="B420" i="10"/>
  <c r="E420" i="10" s="1"/>
  <c r="B484" i="26" l="1"/>
  <c r="E483" i="26"/>
  <c r="B421" i="10"/>
  <c r="E421" i="10" s="1"/>
  <c r="B485" i="26" l="1"/>
  <c r="B486" i="26" s="1"/>
  <c r="B487" i="26" s="1"/>
  <c r="E484" i="26"/>
  <c r="B422" i="10"/>
  <c r="E422" i="10" s="1"/>
  <c r="B488" i="26" l="1"/>
  <c r="E487" i="26"/>
  <c r="B423" i="10"/>
  <c r="E423" i="10" s="1"/>
  <c r="B489" i="26" l="1"/>
  <c r="E488" i="26"/>
  <c r="B424" i="10"/>
  <c r="E424" i="10" s="1"/>
  <c r="L11" i="12"/>
  <c r="L5" i="12"/>
  <c r="L15" i="12"/>
  <c r="L17" i="12"/>
  <c r="L19" i="12"/>
  <c r="L12" i="12"/>
  <c r="L6" i="12"/>
  <c r="L24" i="12"/>
  <c r="L16" i="12"/>
  <c r="L23" i="12"/>
  <c r="L8" i="12"/>
  <c r="L9" i="12"/>
  <c r="L14" i="12"/>
  <c r="L26" i="12"/>
  <c r="L29" i="12"/>
  <c r="L10" i="12"/>
  <c r="L22" i="12"/>
  <c r="L28" i="12"/>
  <c r="L21" i="12"/>
  <c r="L7" i="12"/>
  <c r="L13" i="12"/>
  <c r="L20" i="12"/>
  <c r="L25" i="12"/>
  <c r="L27" i="12"/>
  <c r="L18" i="12"/>
  <c r="E489" i="26" l="1"/>
  <c r="B490" i="26"/>
  <c r="B425" i="10"/>
  <c r="M5" i="12"/>
  <c r="M6" i="12"/>
  <c r="M7" i="12"/>
  <c r="M8" i="12"/>
  <c r="M9" i="12"/>
  <c r="M10" i="12"/>
  <c r="M11" i="12"/>
  <c r="M12" i="12"/>
  <c r="M13" i="12"/>
  <c r="M14" i="12"/>
  <c r="M15" i="12"/>
  <c r="M16" i="12"/>
  <c r="M17" i="12"/>
  <c r="M18" i="12"/>
  <c r="M19" i="12"/>
  <c r="M20" i="12"/>
  <c r="M21" i="12"/>
  <c r="M22" i="12"/>
  <c r="M23" i="12"/>
  <c r="M24" i="12"/>
  <c r="M25" i="12"/>
  <c r="M26" i="12"/>
  <c r="M27" i="12"/>
  <c r="M28" i="12"/>
  <c r="M29" i="12"/>
  <c r="K23" i="25" a="1"/>
  <c r="K22" i="25" a="1"/>
  <c r="K31" i="25" a="1"/>
  <c r="K24" i="26" a="1"/>
  <c r="K34" i="25" a="1"/>
  <c r="K32" i="25" a="1"/>
  <c r="K21" i="25" a="1"/>
  <c r="K18" i="27"/>
  <c r="K40" i="25" a="1"/>
  <c r="K30" i="27"/>
  <c r="K37" i="26" a="1"/>
  <c r="K29" i="26" a="1"/>
  <c r="K38" i="25" a="1"/>
  <c r="K41" i="26" a="1"/>
  <c r="K39" i="26" a="1"/>
  <c r="K26" i="26" a="1"/>
  <c r="K27" i="25" a="1"/>
  <c r="K22" i="26" a="1"/>
  <c r="K20" i="25" a="1"/>
  <c r="K17" i="25" a="1"/>
  <c r="K25" i="25" a="1"/>
  <c r="K33" i="26" a="1"/>
  <c r="K35" i="26" a="1"/>
  <c r="K28" i="25" a="1"/>
  <c r="K19" i="25" a="1"/>
  <c r="K36" i="26" a="1"/>
  <c r="B491" i="26" l="1"/>
  <c r="B492" i="26" s="1"/>
  <c r="B493" i="26" s="1"/>
  <c r="E490" i="26"/>
  <c r="K39" i="26"/>
  <c r="K22" i="26"/>
  <c r="K37" i="26"/>
  <c r="K29" i="26"/>
  <c r="K41" i="26"/>
  <c r="K33" i="26"/>
  <c r="K36" i="26"/>
  <c r="K35" i="26"/>
  <c r="K26" i="26"/>
  <c r="K24" i="26"/>
  <c r="K22" i="25"/>
  <c r="K21" i="25"/>
  <c r="K28" i="25"/>
  <c r="K27" i="25"/>
  <c r="K34" i="25"/>
  <c r="K23" i="25"/>
  <c r="K25" i="25"/>
  <c r="K31" i="25"/>
  <c r="K38" i="25"/>
  <c r="K20" i="25"/>
  <c r="K19" i="25"/>
  <c r="K40" i="25"/>
  <c r="K32" i="25"/>
  <c r="K17" i="25"/>
  <c r="D17" i="25" s="1"/>
  <c r="B426" i="10"/>
  <c r="K26" i="10"/>
  <c r="K36" i="10"/>
  <c r="K22" i="10"/>
  <c r="K27" i="10"/>
  <c r="K35" i="10"/>
  <c r="K34" i="10"/>
  <c r="K33" i="10"/>
  <c r="K21" i="10"/>
  <c r="K28" i="10"/>
  <c r="K25" i="10"/>
  <c r="K20" i="10"/>
  <c r="K39" i="10"/>
  <c r="K24" i="10"/>
  <c r="K31" i="10"/>
  <c r="K19" i="10"/>
  <c r="K38" i="10"/>
  <c r="K23" i="10"/>
  <c r="K30" i="10"/>
  <c r="K18" i="10"/>
  <c r="K40" i="10"/>
  <c r="K37" i="10"/>
  <c r="K32" i="10"/>
  <c r="K41" i="10"/>
  <c r="K29" i="10"/>
  <c r="K17" i="10"/>
  <c r="D17" i="10" s="1"/>
  <c r="K33" i="27"/>
  <c r="K20" i="26" a="1"/>
  <c r="K19" i="27"/>
  <c r="K37" i="25" a="1"/>
  <c r="K21" i="26" a="1"/>
  <c r="K18" i="26" a="1"/>
  <c r="K29" i="25" a="1"/>
  <c r="K37" i="27"/>
  <c r="K24" i="25" a="1"/>
  <c r="K27" i="26" a="1"/>
  <c r="K29" i="27"/>
  <c r="K26" i="27"/>
  <c r="K18" i="25" a="1"/>
  <c r="K19" i="26" a="1"/>
  <c r="K41" i="27"/>
  <c r="K17" i="26" a="1"/>
  <c r="K30" i="26" a="1"/>
  <c r="K17" i="27"/>
  <c r="K20" i="27"/>
  <c r="K28" i="26" a="1"/>
  <c r="K39" i="27"/>
  <c r="K23" i="26" a="1"/>
  <c r="K36" i="25" a="1"/>
  <c r="K38" i="26" a="1"/>
  <c r="K41" i="25" a="1"/>
  <c r="K24" i="27"/>
  <c r="K31" i="27"/>
  <c r="K33" i="25" a="1"/>
  <c r="K25" i="27"/>
  <c r="K25" i="26" a="1"/>
  <c r="K39" i="25" a="1"/>
  <c r="K21" i="27"/>
  <c r="K27" i="27"/>
  <c r="K35" i="25" a="1"/>
  <c r="K35" i="27"/>
  <c r="K40" i="26" a="1"/>
  <c r="K31" i="26" a="1"/>
  <c r="K40" i="27"/>
  <c r="K34" i="27"/>
  <c r="K22" i="27"/>
  <c r="K32" i="27"/>
  <c r="K32" i="26" a="1"/>
  <c r="K36" i="27"/>
  <c r="K23" i="27"/>
  <c r="K30" i="25" a="1"/>
  <c r="K28" i="27"/>
  <c r="K34" i="26" a="1"/>
  <c r="K38" i="27"/>
  <c r="K26" i="25" a="1"/>
  <c r="K17" i="26" l="1"/>
  <c r="D17" i="26" s="1"/>
  <c r="K18" i="25"/>
  <c r="K30" i="26"/>
  <c r="K30" i="25"/>
  <c r="K32" i="26"/>
  <c r="K28" i="26"/>
  <c r="K31" i="26"/>
  <c r="D17" i="27"/>
  <c r="I17" i="27" s="1"/>
  <c r="K19" i="26"/>
  <c r="K20" i="26"/>
  <c r="K27" i="26"/>
  <c r="K36" i="25"/>
  <c r="K35" i="25"/>
  <c r="K41" i="25"/>
  <c r="K40" i="26"/>
  <c r="K18" i="26"/>
  <c r="K34" i="26"/>
  <c r="K23" i="26"/>
  <c r="K38" i="26"/>
  <c r="K33" i="25"/>
  <c r="K26" i="25"/>
  <c r="K24" i="25"/>
  <c r="K25" i="26"/>
  <c r="B494" i="26"/>
  <c r="E493" i="26"/>
  <c r="K29" i="25"/>
  <c r="K21" i="26"/>
  <c r="K37" i="25"/>
  <c r="K39" i="25"/>
  <c r="B427" i="10"/>
  <c r="E427" i="10" s="1"/>
  <c r="E18" i="25"/>
  <c r="E18" i="10"/>
  <c r="G18" i="10" s="1"/>
  <c r="I17" i="10"/>
  <c r="E18" i="27" l="1"/>
  <c r="G18" i="27" s="1"/>
  <c r="F18" i="27" s="1"/>
  <c r="B495" i="26"/>
  <c r="E494" i="26"/>
  <c r="I17" i="25"/>
  <c r="I17" i="26"/>
  <c r="F18" i="10"/>
  <c r="B428" i="10"/>
  <c r="E428" i="10" s="1"/>
  <c r="E18" i="26"/>
  <c r="G18" i="26" s="1"/>
  <c r="F18" i="26" s="1"/>
  <c r="H18" i="26" s="1"/>
  <c r="G18" i="25"/>
  <c r="F18" i="25" s="1"/>
  <c r="E495" i="26" l="1"/>
  <c r="B496" i="26"/>
  <c r="B429" i="10"/>
  <c r="E429" i="10" s="1"/>
  <c r="H18" i="10"/>
  <c r="H18" i="25"/>
  <c r="I18" i="25" s="1"/>
  <c r="H18" i="27"/>
  <c r="E19" i="27" s="1"/>
  <c r="I18" i="26"/>
  <c r="C19" i="26"/>
  <c r="G19" i="26" s="1"/>
  <c r="F19" i="26" s="1"/>
  <c r="H19" i="26" s="1"/>
  <c r="B497" i="26" l="1"/>
  <c r="E496" i="26"/>
  <c r="C19" i="10"/>
  <c r="G19" i="10" s="1"/>
  <c r="B430" i="10"/>
  <c r="E430" i="10" s="1"/>
  <c r="I18" i="10"/>
  <c r="C19" i="25"/>
  <c r="G19" i="25" s="1"/>
  <c r="F19" i="25" s="1"/>
  <c r="C19" i="27"/>
  <c r="G19" i="27" s="1"/>
  <c r="F19" i="27" s="1"/>
  <c r="I18" i="27"/>
  <c r="I19" i="26"/>
  <c r="C20" i="26"/>
  <c r="G20" i="26" s="1"/>
  <c r="F20" i="26" s="1"/>
  <c r="H20" i="26" s="1"/>
  <c r="F19" i="10" l="1"/>
  <c r="H19" i="10" s="1"/>
  <c r="B431" i="10"/>
  <c r="E431" i="10" s="1"/>
  <c r="H19" i="27"/>
  <c r="H19" i="25"/>
  <c r="E20" i="25" s="1"/>
  <c r="I20" i="26"/>
  <c r="C21" i="26"/>
  <c r="G21" i="26" s="1"/>
  <c r="F21" i="26" s="1"/>
  <c r="I19" i="10" l="1"/>
  <c r="C20" i="10"/>
  <c r="G20" i="10" s="1"/>
  <c r="B432" i="10"/>
  <c r="E432" i="10" s="1"/>
  <c r="H21" i="26"/>
  <c r="I21" i="26" s="1"/>
  <c r="I19" i="25"/>
  <c r="C20" i="25"/>
  <c r="G20" i="25" s="1"/>
  <c r="F20" i="25" s="1"/>
  <c r="E20" i="27"/>
  <c r="I19" i="27"/>
  <c r="C20" i="27"/>
  <c r="F20" i="10" l="1"/>
  <c r="H20" i="10" s="1"/>
  <c r="B433" i="10"/>
  <c r="E433" i="10" s="1"/>
  <c r="C22" i="26"/>
  <c r="G22" i="26" s="1"/>
  <c r="F22" i="26" s="1"/>
  <c r="H22" i="26" s="1"/>
  <c r="G20" i="27"/>
  <c r="F20" i="27" s="1"/>
  <c r="H20" i="25"/>
  <c r="H20" i="27" l="1"/>
  <c r="I20" i="27" s="1"/>
  <c r="I22" i="26"/>
  <c r="E23" i="26"/>
  <c r="I20" i="10"/>
  <c r="C21" i="10"/>
  <c r="B434" i="10"/>
  <c r="E434" i="10" s="1"/>
  <c r="C23" i="26"/>
  <c r="E21" i="25"/>
  <c r="I20" i="25"/>
  <c r="C21" i="25"/>
  <c r="E21" i="27" l="1"/>
  <c r="C21" i="27"/>
  <c r="G23" i="26"/>
  <c r="F23" i="26" s="1"/>
  <c r="G21" i="10"/>
  <c r="F21" i="10" s="1"/>
  <c r="H21" i="10" s="1"/>
  <c r="B435" i="10"/>
  <c r="E435" i="10" s="1"/>
  <c r="G21" i="25"/>
  <c r="F21" i="25" s="1"/>
  <c r="G21" i="27" l="1"/>
  <c r="F21" i="27" s="1"/>
  <c r="H21" i="27" s="1"/>
  <c r="H23" i="26"/>
  <c r="E24" i="26" s="1"/>
  <c r="H21" i="25"/>
  <c r="C22" i="25" s="1"/>
  <c r="G22" i="25" s="1"/>
  <c r="F22" i="25" s="1"/>
  <c r="C22" i="10"/>
  <c r="G22" i="10" s="1"/>
  <c r="F22" i="10" s="1"/>
  <c r="H22" i="10" s="1"/>
  <c r="C23" i="10" s="1"/>
  <c r="G23" i="10" s="1"/>
  <c r="I21" i="10"/>
  <c r="B436" i="10"/>
  <c r="E436" i="10" s="1"/>
  <c r="I21" i="25" l="1"/>
  <c r="C24" i="26"/>
  <c r="G24" i="26" s="1"/>
  <c r="F24" i="26" s="1"/>
  <c r="H24" i="26" s="1"/>
  <c r="I24" i="26" s="1"/>
  <c r="I23" i="26"/>
  <c r="H22" i="25"/>
  <c r="E23" i="25" s="1"/>
  <c r="I22" i="10"/>
  <c r="F23" i="10"/>
  <c r="H23" i="10" s="1"/>
  <c r="B437" i="10"/>
  <c r="E22" i="27"/>
  <c r="I21" i="27"/>
  <c r="C22" i="27"/>
  <c r="C25" i="26" l="1"/>
  <c r="G25" i="26" s="1"/>
  <c r="F25" i="26" s="1"/>
  <c r="H25" i="26" s="1"/>
  <c r="I22" i="25"/>
  <c r="C23" i="25"/>
  <c r="G23" i="25" s="1"/>
  <c r="F23" i="25" s="1"/>
  <c r="I23" i="10"/>
  <c r="C24" i="10"/>
  <c r="B438" i="10"/>
  <c r="G22" i="27"/>
  <c r="F22" i="27" s="1"/>
  <c r="H22" i="27" l="1"/>
  <c r="I22" i="27" s="1"/>
  <c r="C26" i="26"/>
  <c r="G26" i="26" s="1"/>
  <c r="F26" i="26" s="1"/>
  <c r="H26" i="26" s="1"/>
  <c r="I25" i="26"/>
  <c r="H23" i="25"/>
  <c r="E24" i="25" s="1"/>
  <c r="G24" i="10"/>
  <c r="F24" i="10" s="1"/>
  <c r="H24" i="10" s="1"/>
  <c r="B439" i="10"/>
  <c r="E439" i="10" s="1"/>
  <c r="E23" i="27" l="1"/>
  <c r="C23" i="27"/>
  <c r="I26" i="26"/>
  <c r="C27" i="26"/>
  <c r="G27" i="26" s="1"/>
  <c r="F27" i="26" s="1"/>
  <c r="C24" i="25"/>
  <c r="G24" i="25" s="1"/>
  <c r="F24" i="25" s="1"/>
  <c r="I23" i="25"/>
  <c r="C25" i="10"/>
  <c r="G25" i="10" s="1"/>
  <c r="F25" i="10" s="1"/>
  <c r="H25" i="10" s="1"/>
  <c r="I24" i="10"/>
  <c r="B440" i="10"/>
  <c r="E440" i="10" s="1"/>
  <c r="G23" i="27" l="1"/>
  <c r="F23" i="27" s="1"/>
  <c r="H23" i="27"/>
  <c r="I23" i="27" s="1"/>
  <c r="H27" i="26"/>
  <c r="H24" i="25"/>
  <c r="I25" i="10"/>
  <c r="C26" i="10"/>
  <c r="G26" i="10" s="1"/>
  <c r="B441" i="10"/>
  <c r="E441" i="10" s="1"/>
  <c r="E24" i="27"/>
  <c r="C24" i="27" l="1"/>
  <c r="G24" i="27" s="1"/>
  <c r="F24" i="27" s="1"/>
  <c r="C28" i="26"/>
  <c r="G28" i="26" s="1"/>
  <c r="F28" i="26" s="1"/>
  <c r="I27" i="26"/>
  <c r="I24" i="25"/>
  <c r="C25" i="25"/>
  <c r="G25" i="25" s="1"/>
  <c r="F25" i="25" s="1"/>
  <c r="F26" i="10"/>
  <c r="H26" i="10" s="1"/>
  <c r="B442" i="10"/>
  <c r="E442" i="10" s="1"/>
  <c r="H24" i="27" l="1"/>
  <c r="I24" i="27" s="1"/>
  <c r="H28" i="26"/>
  <c r="H25" i="25"/>
  <c r="I26" i="10"/>
  <c r="C27" i="10"/>
  <c r="G27" i="10" s="1"/>
  <c r="B443" i="10"/>
  <c r="E443" i="10" s="1"/>
  <c r="E25" i="27" l="1"/>
  <c r="C25" i="27"/>
  <c r="E29" i="26"/>
  <c r="C29" i="26"/>
  <c r="I28" i="26"/>
  <c r="E26" i="25"/>
  <c r="C26" i="25"/>
  <c r="I25" i="25"/>
  <c r="F27" i="10"/>
  <c r="H27" i="10" s="1"/>
  <c r="B444" i="10"/>
  <c r="E444" i="10" s="1"/>
  <c r="G25" i="27" l="1"/>
  <c r="F25" i="27" s="1"/>
  <c r="H25" i="27" s="1"/>
  <c r="G29" i="26"/>
  <c r="F29" i="26" s="1"/>
  <c r="G26" i="25"/>
  <c r="F26" i="25" s="1"/>
  <c r="C28" i="10"/>
  <c r="G28" i="10" s="1"/>
  <c r="I27" i="10"/>
  <c r="B445" i="10"/>
  <c r="E445" i="10" s="1"/>
  <c r="N17" i="26"/>
  <c r="I25" i="27" l="1"/>
  <c r="E26" i="27"/>
  <c r="C26" i="27"/>
  <c r="P17" i="26"/>
  <c r="H29" i="26"/>
  <c r="H26" i="25"/>
  <c r="E27" i="25" s="1"/>
  <c r="F28" i="10"/>
  <c r="H28" i="10" s="1"/>
  <c r="E29" i="10" s="1"/>
  <c r="B446" i="10"/>
  <c r="E446" i="10" s="1"/>
  <c r="O17" i="26"/>
  <c r="G26" i="27" l="1"/>
  <c r="F26" i="27" s="1"/>
  <c r="H26" i="27" s="1"/>
  <c r="M17" i="26"/>
  <c r="C30" i="26"/>
  <c r="C27" i="25"/>
  <c r="G27" i="25" s="1"/>
  <c r="F27" i="25" s="1"/>
  <c r="I26" i="25"/>
  <c r="I28" i="10"/>
  <c r="C29" i="10"/>
  <c r="G29" i="10" s="1"/>
  <c r="B447" i="10"/>
  <c r="E447" i="10" s="1"/>
  <c r="I26" i="27" l="1"/>
  <c r="E27" i="27"/>
  <c r="C27" i="27"/>
  <c r="H27" i="25"/>
  <c r="F29" i="10"/>
  <c r="B448" i="10"/>
  <c r="E448" i="10" s="1"/>
  <c r="N17" i="10"/>
  <c r="G27" i="27" l="1"/>
  <c r="F27" i="27" s="1"/>
  <c r="H27" i="27" s="1"/>
  <c r="C28" i="27" s="1"/>
  <c r="C28" i="25"/>
  <c r="G28" i="25" s="1"/>
  <c r="F28" i="25" s="1"/>
  <c r="I27" i="25"/>
  <c r="H29" i="10"/>
  <c r="B449" i="10"/>
  <c r="D5" i="3" a="1"/>
  <c r="D5" i="3" l="1"/>
  <c r="E28" i="27"/>
  <c r="G28" i="27" s="1"/>
  <c r="F28" i="27" s="1"/>
  <c r="I27" i="27"/>
  <c r="H28" i="25"/>
  <c r="D29" i="10"/>
  <c r="C30" i="10"/>
  <c r="B450" i="10"/>
  <c r="H28" i="27" l="1"/>
  <c r="E29" i="27" s="1"/>
  <c r="E29" i="25"/>
  <c r="C29" i="25"/>
  <c r="I28" i="25"/>
  <c r="I29" i="10"/>
  <c r="E30" i="10"/>
  <c r="G30" i="10" s="1"/>
  <c r="B451" i="10"/>
  <c r="E451" i="10" s="1"/>
  <c r="I28" i="27" l="1"/>
  <c r="C29" i="27"/>
  <c r="G29" i="27" s="1"/>
  <c r="F29" i="27" s="1"/>
  <c r="H29" i="27" s="1"/>
  <c r="G29" i="25"/>
  <c r="F29" i="25" s="1"/>
  <c r="F30" i="10"/>
  <c r="H30" i="10" s="1"/>
  <c r="B452" i="10"/>
  <c r="E452" i="10" s="1"/>
  <c r="N17" i="25"/>
  <c r="P17" i="25" l="1"/>
  <c r="H29" i="25"/>
  <c r="C30" i="25" s="1"/>
  <c r="I30" i="10"/>
  <c r="C31" i="10"/>
  <c r="G31" i="10" s="1"/>
  <c r="B453" i="10"/>
  <c r="E453" i="10" s="1"/>
  <c r="C30" i="27"/>
  <c r="O17" i="25"/>
  <c r="M17" i="25" l="1"/>
  <c r="F31" i="10"/>
  <c r="H31" i="10" s="1"/>
  <c r="B454" i="10"/>
  <c r="E454" i="10" s="1"/>
  <c r="I31" i="10" l="1"/>
  <c r="C32" i="10"/>
  <c r="G32" i="10" s="1"/>
  <c r="B455" i="10"/>
  <c r="E455" i="10" s="1"/>
  <c r="F32" i="10" l="1"/>
  <c r="H32" i="10" s="1"/>
  <c r="B456" i="10"/>
  <c r="E456" i="10" s="1"/>
  <c r="C33" i="10" l="1"/>
  <c r="G33" i="10" s="1"/>
  <c r="I32" i="10"/>
  <c r="B457" i="10"/>
  <c r="E457" i="10" s="1"/>
  <c r="F33" i="10" l="1"/>
  <c r="H33" i="10" s="1"/>
  <c r="B458" i="10"/>
  <c r="E458" i="10" s="1"/>
  <c r="C34" i="10" l="1"/>
  <c r="G34" i="10" s="1"/>
  <c r="I33" i="10"/>
  <c r="B459" i="10"/>
  <c r="E459" i="10" s="1"/>
  <c r="F34" i="10" l="1"/>
  <c r="H34" i="10" s="1"/>
  <c r="B460" i="10"/>
  <c r="E460" i="10" s="1"/>
  <c r="I34" i="10" l="1"/>
  <c r="C35" i="10"/>
  <c r="B461" i="10"/>
  <c r="G35" i="10" l="1"/>
  <c r="F35" i="10" s="1"/>
  <c r="H35" i="10" s="1"/>
  <c r="B462" i="10"/>
  <c r="C36" i="10" l="1"/>
  <c r="I35" i="10"/>
  <c r="B463" i="10"/>
  <c r="E463" i="10" s="1"/>
  <c r="G36" i="10" l="1"/>
  <c r="F36" i="10" s="1"/>
  <c r="H36" i="10" s="1"/>
  <c r="B464" i="10"/>
  <c r="E464" i="10" s="1"/>
  <c r="C37" i="10" l="1"/>
  <c r="I36" i="10"/>
  <c r="B465" i="10"/>
  <c r="E465" i="10" s="1"/>
  <c r="G37" i="10" l="1"/>
  <c r="F37" i="10" s="1"/>
  <c r="H37" i="10" s="1"/>
  <c r="B466" i="10"/>
  <c r="E466" i="10" s="1"/>
  <c r="C38" i="10" l="1"/>
  <c r="G38" i="10" s="1"/>
  <c r="F38" i="10" s="1"/>
  <c r="H38" i="10" s="1"/>
  <c r="I37" i="10"/>
  <c r="B467" i="10"/>
  <c r="E467" i="10" s="1"/>
  <c r="C39" i="10" l="1"/>
  <c r="G39" i="10" s="1"/>
  <c r="F39" i="10" s="1"/>
  <c r="H39" i="10" s="1"/>
  <c r="I38" i="10"/>
  <c r="B468" i="10"/>
  <c r="E468" i="10" s="1"/>
  <c r="I39" i="10" l="1"/>
  <c r="C40" i="10"/>
  <c r="B469" i="10"/>
  <c r="E469" i="10" s="1"/>
  <c r="G40" i="10" l="1"/>
  <c r="F40" i="10" s="1"/>
  <c r="H40" i="10" s="1"/>
  <c r="E41" i="10" s="1"/>
  <c r="B470" i="10"/>
  <c r="E470" i="10" s="1"/>
  <c r="C41" i="10" l="1"/>
  <c r="G41" i="10" s="1"/>
  <c r="F41" i="10" s="1"/>
  <c r="I40" i="10"/>
  <c r="B471" i="10"/>
  <c r="E471" i="10" s="1"/>
  <c r="N18" i="10"/>
  <c r="H41" i="10" l="1"/>
  <c r="B472" i="10"/>
  <c r="E472" i="10" s="1"/>
  <c r="O18" i="10"/>
  <c r="C42" i="10" l="1"/>
  <c r="D41" i="10"/>
  <c r="B473" i="10"/>
  <c r="E42" i="10" l="1"/>
  <c r="G42" i="10" s="1"/>
  <c r="I41" i="10"/>
  <c r="B474" i="10"/>
  <c r="F42" i="10" l="1"/>
  <c r="H42" i="10" s="1"/>
  <c r="B475" i="10"/>
  <c r="E475" i="10" s="1"/>
  <c r="I42" i="10" l="1"/>
  <c r="C43" i="10"/>
  <c r="B476" i="10"/>
  <c r="E476" i="10" s="1"/>
  <c r="G43" i="10" l="1"/>
  <c r="F43" i="10" s="1"/>
  <c r="H43" i="10" s="1"/>
  <c r="B477" i="10"/>
  <c r="E477" i="10" s="1"/>
  <c r="I43" i="10" l="1"/>
  <c r="C44" i="10"/>
  <c r="G44" i="10" s="1"/>
  <c r="F44" i="10" s="1"/>
  <c r="H44" i="10" s="1"/>
  <c r="B478" i="10"/>
  <c r="E478" i="10" s="1"/>
  <c r="I44" i="10" l="1"/>
  <c r="C45" i="10"/>
  <c r="G45" i="10" s="1"/>
  <c r="B479" i="10"/>
  <c r="E479" i="10" s="1"/>
  <c r="F45" i="10" l="1"/>
  <c r="H45" i="10" s="1"/>
  <c r="B480" i="10"/>
  <c r="E480" i="10" s="1"/>
  <c r="I45" i="10" l="1"/>
  <c r="C46" i="10"/>
  <c r="G46" i="10" s="1"/>
  <c r="B481" i="10"/>
  <c r="E481" i="10" s="1"/>
  <c r="F46" i="10" l="1"/>
  <c r="H46" i="10" s="1"/>
  <c r="B482" i="10"/>
  <c r="E482" i="10" s="1"/>
  <c r="I46" i="10" l="1"/>
  <c r="C47" i="10"/>
  <c r="G47" i="10" s="1"/>
  <c r="B483" i="10"/>
  <c r="E483" i="10" s="1"/>
  <c r="F47" i="10" l="1"/>
  <c r="B484" i="10"/>
  <c r="E484" i="10" s="1"/>
  <c r="H47" i="10" l="1"/>
  <c r="B485" i="10"/>
  <c r="C48" i="10" l="1"/>
  <c r="I47" i="10"/>
  <c r="B486" i="10"/>
  <c r="G48" i="10" l="1"/>
  <c r="F48" i="10" s="1"/>
  <c r="H48" i="10" s="1"/>
  <c r="B487" i="10"/>
  <c r="E487" i="10" s="1"/>
  <c r="I48" i="10" l="1"/>
  <c r="C49" i="10"/>
  <c r="G49" i="10" s="1"/>
  <c r="B488" i="10"/>
  <c r="E488" i="10" s="1"/>
  <c r="F49" i="10" l="1"/>
  <c r="B489" i="10"/>
  <c r="E489" i="10" s="1"/>
  <c r="H49" i="10" l="1"/>
  <c r="B490" i="10"/>
  <c r="E490" i="10" s="1"/>
  <c r="I49" i="10" l="1"/>
  <c r="C50" i="10"/>
  <c r="G50" i="10" s="1"/>
  <c r="B491" i="10"/>
  <c r="E491" i="10" s="1"/>
  <c r="F50" i="10" l="1"/>
  <c r="B492" i="10"/>
  <c r="E492" i="10" s="1"/>
  <c r="H50" i="10" l="1"/>
  <c r="B493" i="10"/>
  <c r="E493" i="10" s="1"/>
  <c r="I50" i="10" l="1"/>
  <c r="C51" i="10"/>
  <c r="B494" i="10"/>
  <c r="E494" i="10" s="1"/>
  <c r="G51" i="10" l="1"/>
  <c r="F51" i="10" s="1"/>
  <c r="H51" i="10" s="1"/>
  <c r="B495" i="10"/>
  <c r="E495" i="10" s="1"/>
  <c r="C52" i="10" l="1"/>
  <c r="I51" i="10"/>
  <c r="B496" i="10"/>
  <c r="E496" i="10" s="1"/>
  <c r="G52" i="10" l="1"/>
  <c r="F52" i="10" s="1"/>
  <c r="H52" i="10" s="1"/>
  <c r="B497" i="10"/>
  <c r="E53" i="10" l="1"/>
  <c r="I52" i="10"/>
  <c r="C53" i="10"/>
  <c r="G53" i="10" l="1"/>
  <c r="F53" i="10" s="1"/>
  <c r="N19" i="10"/>
  <c r="H53" i="10" l="1"/>
  <c r="D53" i="10" s="1"/>
  <c r="O19" i="10"/>
  <c r="C54" i="10" l="1"/>
  <c r="E54" i="10"/>
  <c r="I53" i="10"/>
  <c r="G54" i="10" l="1"/>
  <c r="F54" i="10" s="1"/>
  <c r="H54" i="10" l="1"/>
  <c r="C55" i="10" l="1"/>
  <c r="I54" i="10"/>
  <c r="G55" i="10" l="1"/>
  <c r="F55" i="10" s="1"/>
  <c r="H55" i="10" s="1"/>
  <c r="I55" i="10" l="1"/>
  <c r="C56" i="10"/>
  <c r="G56" i="10" s="1"/>
  <c r="F56" i="10" l="1"/>
  <c r="H56" i="10" l="1"/>
  <c r="I56" i="10" l="1"/>
  <c r="C57" i="10"/>
  <c r="G57" i="10" s="1"/>
  <c r="F57" i="10" l="1"/>
  <c r="H57" i="10" l="1"/>
  <c r="I57" i="10" l="1"/>
  <c r="C58" i="10"/>
  <c r="G58" i="10" s="1"/>
  <c r="F58" i="10" l="1"/>
  <c r="H58" i="10" l="1"/>
  <c r="C59" i="10" l="1"/>
  <c r="G59" i="10" s="1"/>
  <c r="I58" i="10"/>
  <c r="F59" i="10" l="1"/>
  <c r="H59" i="10" l="1"/>
  <c r="C60" i="10" l="1"/>
  <c r="G60" i="10" s="1"/>
  <c r="I59" i="10"/>
  <c r="F60" i="10" l="1"/>
  <c r="H60" i="10" l="1"/>
  <c r="C61" i="10" l="1"/>
  <c r="G61" i="10" s="1"/>
  <c r="I60" i="10"/>
  <c r="F61" i="10" l="1"/>
  <c r="H61" i="10" l="1"/>
  <c r="C62" i="10" l="1"/>
  <c r="G62" i="10" s="1"/>
  <c r="I61" i="10"/>
  <c r="F62" i="10" l="1"/>
  <c r="H62" i="10" l="1"/>
  <c r="I62" i="10" l="1"/>
  <c r="C63" i="10"/>
  <c r="G63" i="10" l="1"/>
  <c r="F63" i="10" s="1"/>
  <c r="H63" i="10" s="1"/>
  <c r="C64" i="10" l="1"/>
  <c r="I63" i="10"/>
  <c r="G64" i="10" l="1"/>
  <c r="F64" i="10" s="1"/>
  <c r="H64" i="10" s="1"/>
  <c r="E65" i="10" l="1"/>
  <c r="C65" i="10"/>
  <c r="I64" i="10"/>
  <c r="G65" i="10" l="1"/>
  <c r="F65" i="10" s="1"/>
  <c r="N20" i="10"/>
  <c r="H65" i="10" l="1"/>
  <c r="O20" i="10"/>
  <c r="C66" i="10" l="1"/>
  <c r="D65" i="10"/>
  <c r="E66" i="10" l="1"/>
  <c r="G66" i="10" s="1"/>
  <c r="I65" i="10"/>
  <c r="F66" i="10" l="1"/>
  <c r="H66" i="10" s="1"/>
  <c r="I66" i="10" l="1"/>
  <c r="C67" i="10"/>
  <c r="G67" i="10" s="1"/>
  <c r="F67" i="10" s="1"/>
  <c r="H67" i="10" s="1"/>
  <c r="I67" i="10" l="1"/>
  <c r="C68" i="10"/>
  <c r="G68" i="10" s="1"/>
  <c r="F68" i="10" l="1"/>
  <c r="H68" i="10" l="1"/>
  <c r="I68" i="10" l="1"/>
  <c r="C69" i="10"/>
  <c r="G69" i="10" s="1"/>
  <c r="F69" i="10" l="1"/>
  <c r="H69" i="10" l="1"/>
  <c r="I69" i="10" l="1"/>
  <c r="C70" i="10"/>
  <c r="G70" i="10" s="1"/>
  <c r="F70" i="10" l="1"/>
  <c r="H70" i="10" l="1"/>
  <c r="C71" i="10" l="1"/>
  <c r="I70" i="10"/>
  <c r="G71" i="10" l="1"/>
  <c r="F71" i="10" s="1"/>
  <c r="H71" i="10" s="1"/>
  <c r="C72" i="10" l="1"/>
  <c r="I71" i="10"/>
  <c r="G72" i="10" l="1"/>
  <c r="F72" i="10" s="1"/>
  <c r="H72" i="10" s="1"/>
  <c r="I72" i="10" l="1"/>
  <c r="C73" i="10"/>
  <c r="G73" i="10" l="1"/>
  <c r="F73" i="10" s="1"/>
  <c r="H73" i="10" s="1"/>
  <c r="I73" i="10" l="1"/>
  <c r="C74" i="10"/>
  <c r="G74" i="10" l="1"/>
  <c r="F74" i="10" s="1"/>
  <c r="H74" i="10" s="1"/>
  <c r="I74" i="10" l="1"/>
  <c r="C75" i="10"/>
  <c r="G75" i="10" l="1"/>
  <c r="F75" i="10" s="1"/>
  <c r="H75" i="10" s="1"/>
  <c r="C76" i="10" l="1"/>
  <c r="G76" i="10" s="1"/>
  <c r="F76" i="10" s="1"/>
  <c r="I75" i="10"/>
  <c r="H76" i="10" l="1"/>
  <c r="E77" i="10" l="1"/>
  <c r="I76" i="10"/>
  <c r="C77" i="10"/>
  <c r="G77" i="10" l="1"/>
  <c r="F77" i="10" s="1"/>
  <c r="N21" i="10"/>
  <c r="H77" i="10" l="1"/>
  <c r="O21" i="10"/>
  <c r="D77" i="10" l="1"/>
  <c r="C78" i="10"/>
  <c r="E78" i="10" l="1"/>
  <c r="G78" i="10" s="1"/>
  <c r="I77" i="10"/>
  <c r="F78" i="10" l="1"/>
  <c r="H78" i="10" l="1"/>
  <c r="C79" i="10" l="1"/>
  <c r="I78" i="10"/>
  <c r="G79" i="10" l="1"/>
  <c r="F79" i="10" s="1"/>
  <c r="H79" i="10" s="1"/>
  <c r="I79" i="10" l="1"/>
  <c r="C80" i="10"/>
  <c r="G80" i="10" l="1"/>
  <c r="F80" i="10" s="1"/>
  <c r="H80" i="10" s="1"/>
  <c r="I80" i="10" l="1"/>
  <c r="C81" i="10"/>
  <c r="G81" i="10" s="1"/>
  <c r="F81" i="10" l="1"/>
  <c r="H81" i="10" l="1"/>
  <c r="I81" i="10" l="1"/>
  <c r="C82" i="10"/>
  <c r="G82" i="10" s="1"/>
  <c r="F82" i="10" l="1"/>
  <c r="H82" i="10" l="1"/>
  <c r="I82" i="10" l="1"/>
  <c r="C83" i="10"/>
  <c r="G83" i="10" s="1"/>
  <c r="F83" i="10" l="1"/>
  <c r="H83" i="10" l="1"/>
  <c r="C84" i="10" l="1"/>
  <c r="I83" i="10"/>
  <c r="G84" i="10" l="1"/>
  <c r="F84" i="10" s="1"/>
  <c r="H84" i="10" s="1"/>
  <c r="I84" i="10" l="1"/>
  <c r="C85" i="10"/>
  <c r="G85" i="10" s="1"/>
  <c r="F85" i="10" l="1"/>
  <c r="H85" i="10" l="1"/>
  <c r="C86" i="10" l="1"/>
  <c r="I85" i="10"/>
  <c r="G86" i="10" l="1"/>
  <c r="F86" i="10" s="1"/>
  <c r="H86" i="10" s="1"/>
  <c r="C87" i="10" l="1"/>
  <c r="I86" i="10"/>
  <c r="G87" i="10" l="1"/>
  <c r="F87" i="10" s="1"/>
  <c r="H87" i="10" s="1"/>
  <c r="C88" i="10" l="1"/>
  <c r="I87" i="10"/>
  <c r="G88" i="10" l="1"/>
  <c r="F88" i="10" s="1"/>
  <c r="H88" i="10" l="1"/>
  <c r="E89" i="10" s="1"/>
  <c r="I88" i="10" l="1"/>
  <c r="C89" i="10"/>
  <c r="G89" i="10" l="1"/>
  <c r="F89" i="10" s="1"/>
  <c r="N22" i="10"/>
  <c r="H89" i="10" l="1"/>
  <c r="O22" i="10"/>
  <c r="D89" i="10" l="1"/>
  <c r="C90" i="10"/>
  <c r="I89" i="10" l="1"/>
  <c r="E90" i="10"/>
  <c r="G90" i="10" l="1"/>
  <c r="F90" i="10" s="1"/>
  <c r="H90" i="10" s="1"/>
  <c r="I90" i="10" l="1"/>
  <c r="C91" i="10"/>
  <c r="G91" i="10" s="1"/>
  <c r="F91" i="10" s="1"/>
  <c r="H91" i="10" s="1"/>
  <c r="I91" i="10" l="1"/>
  <c r="C92" i="10"/>
  <c r="G92" i="10" s="1"/>
  <c r="F92" i="10" s="1"/>
  <c r="H92" i="10" s="1"/>
  <c r="C93" i="10" l="1"/>
  <c r="G93" i="10" s="1"/>
  <c r="I92" i="10"/>
  <c r="F93" i="10" l="1"/>
  <c r="H93" i="10" l="1"/>
  <c r="C94" i="10" l="1"/>
  <c r="I93" i="10"/>
  <c r="G94" i="10" l="1"/>
  <c r="F94" i="10" s="1"/>
  <c r="H94" i="10" s="1"/>
  <c r="I94" i="10" l="1"/>
  <c r="C95" i="10"/>
  <c r="G95" i="10" s="1"/>
  <c r="F95" i="10" l="1"/>
  <c r="H95" i="10" l="1"/>
  <c r="C96" i="10" l="1"/>
  <c r="I95" i="10"/>
  <c r="G96" i="10" l="1"/>
  <c r="F96" i="10" s="1"/>
  <c r="H96" i="10" s="1"/>
  <c r="I96" i="10" l="1"/>
  <c r="C97" i="10"/>
  <c r="G97" i="10" s="1"/>
  <c r="F97" i="10" l="1"/>
  <c r="H97" i="10" l="1"/>
  <c r="I97" i="10" l="1"/>
  <c r="C98" i="10"/>
  <c r="G98" i="10" s="1"/>
  <c r="F98" i="10" l="1"/>
  <c r="H98" i="10" l="1"/>
  <c r="C99" i="10" l="1"/>
  <c r="G99" i="10" s="1"/>
  <c r="I98" i="10"/>
  <c r="F99" i="10" l="1"/>
  <c r="H99" i="10" l="1"/>
  <c r="I99" i="10" l="1"/>
  <c r="C100" i="10"/>
  <c r="G100" i="10" l="1"/>
  <c r="F100" i="10" s="1"/>
  <c r="H100" i="10" s="1"/>
  <c r="E101" i="10" l="1"/>
  <c r="I100" i="10"/>
  <c r="C101" i="10"/>
  <c r="G101" i="10" l="1"/>
  <c r="F101" i="10" s="1"/>
  <c r="N23" i="10"/>
  <c r="H101" i="10" l="1"/>
  <c r="O23" i="10"/>
  <c r="C102" i="10" l="1"/>
  <c r="D101" i="10"/>
  <c r="I101" i="10" l="1"/>
  <c r="E102" i="10"/>
  <c r="G102" i="10" s="1"/>
  <c r="F102" i="10" l="1"/>
  <c r="H102" i="10" s="1"/>
  <c r="C103" i="10" s="1"/>
  <c r="I102" i="10" l="1"/>
  <c r="G103" i="10"/>
  <c r="F103" i="10" s="1"/>
  <c r="H103" i="10" s="1"/>
  <c r="I103" i="10" l="1"/>
  <c r="C104" i="10"/>
  <c r="G104" i="10" l="1"/>
  <c r="F104" i="10" s="1"/>
  <c r="H104" i="10" s="1"/>
  <c r="C105" i="10" l="1"/>
  <c r="G105" i="10" s="1"/>
  <c r="I104" i="10"/>
  <c r="F105" i="10" l="1"/>
  <c r="H105" i="10" l="1"/>
  <c r="C106" i="10" l="1"/>
  <c r="I105" i="10"/>
  <c r="G106" i="10" l="1"/>
  <c r="F106" i="10" s="1"/>
  <c r="H106" i="10" s="1"/>
  <c r="C107" i="10" l="1"/>
  <c r="I106" i="10"/>
  <c r="G107" i="10" l="1"/>
  <c r="F107" i="10" s="1"/>
  <c r="H107" i="10" s="1"/>
  <c r="I107" i="10" l="1"/>
  <c r="C108" i="10"/>
  <c r="G108" i="10" s="1"/>
  <c r="F108" i="10" l="1"/>
  <c r="H108" i="10" l="1"/>
  <c r="C109" i="10" l="1"/>
  <c r="I108" i="10"/>
  <c r="G109" i="10" l="1"/>
  <c r="F109" i="10" s="1"/>
  <c r="H109" i="10" s="1"/>
  <c r="C110" i="10" l="1"/>
  <c r="I109" i="10"/>
  <c r="G110" i="10" l="1"/>
  <c r="F110" i="10" s="1"/>
  <c r="H110" i="10" s="1"/>
  <c r="C111" i="10" l="1"/>
  <c r="G111" i="10" s="1"/>
  <c r="I110" i="10"/>
  <c r="F111" i="10" l="1"/>
  <c r="H111" i="10" l="1"/>
  <c r="C112" i="10" l="1"/>
  <c r="G112" i="10" s="1"/>
  <c r="I111" i="10"/>
  <c r="F112" i="10" l="1"/>
  <c r="H112" i="10" l="1"/>
  <c r="E113" i="10" l="1"/>
  <c r="C113" i="10"/>
  <c r="I112" i="10"/>
  <c r="G113" i="10" l="1"/>
  <c r="F113" i="10" s="1"/>
  <c r="N24" i="10"/>
  <c r="H113" i="10" l="1"/>
  <c r="O24" i="10"/>
  <c r="C114" i="10" l="1"/>
  <c r="D113" i="10"/>
  <c r="E114" i="10" l="1"/>
  <c r="G114" i="10" s="1"/>
  <c r="I113" i="10"/>
  <c r="F114" i="10" l="1"/>
  <c r="H114" i="10" l="1"/>
  <c r="C115" i="10" l="1"/>
  <c r="G115" i="10" s="1"/>
  <c r="I114" i="10"/>
  <c r="F115" i="10" l="1"/>
  <c r="H115" i="10" l="1"/>
  <c r="I115" i="10" l="1"/>
  <c r="C116" i="10"/>
  <c r="G116" i="10" s="1"/>
  <c r="F116" i="10" l="1"/>
  <c r="H116" i="10" l="1"/>
  <c r="C117" i="10" l="1"/>
  <c r="G117" i="10" s="1"/>
  <c r="I116" i="10"/>
  <c r="F117" i="10" l="1"/>
  <c r="H117" i="10" l="1"/>
  <c r="C118" i="10" l="1"/>
  <c r="G118" i="10" s="1"/>
  <c r="I117" i="10"/>
  <c r="F118" i="10" l="1"/>
  <c r="H118" i="10" l="1"/>
  <c r="C119" i="10" l="1"/>
  <c r="G119" i="10" s="1"/>
  <c r="I118" i="10"/>
  <c r="F119" i="10" l="1"/>
  <c r="H119" i="10" l="1"/>
  <c r="I119" i="10" l="1"/>
  <c r="C120" i="10"/>
  <c r="G120" i="10" s="1"/>
  <c r="F120" i="10" l="1"/>
  <c r="H120" i="10" l="1"/>
  <c r="C121" i="10" l="1"/>
  <c r="G121" i="10" s="1"/>
  <c r="I120" i="10"/>
  <c r="F121" i="10" l="1"/>
  <c r="H121" i="10" l="1"/>
  <c r="C122" i="10" l="1"/>
  <c r="G122" i="10" s="1"/>
  <c r="I121" i="10"/>
  <c r="F122" i="10" l="1"/>
  <c r="H122" i="10" l="1"/>
  <c r="C123" i="10" l="1"/>
  <c r="G123" i="10" s="1"/>
  <c r="I122" i="10"/>
  <c r="F123" i="10" l="1"/>
  <c r="H123" i="10" l="1"/>
  <c r="C124" i="10" l="1"/>
  <c r="G124" i="10" s="1"/>
  <c r="I123" i="10"/>
  <c r="F124" i="10" l="1"/>
  <c r="H124" i="10" l="1"/>
  <c r="E125" i="10" l="1"/>
  <c r="I124" i="10"/>
  <c r="C125" i="10"/>
  <c r="G125" i="10" l="1"/>
  <c r="F125" i="10" s="1"/>
  <c r="N25" i="10"/>
  <c r="H125" i="10" l="1"/>
  <c r="O25" i="10"/>
  <c r="C126" i="10" l="1"/>
  <c r="D125" i="10"/>
  <c r="I125" i="10" l="1"/>
  <c r="E126" i="10"/>
  <c r="G126" i="10" l="1"/>
  <c r="F126" i="10" s="1"/>
  <c r="H126" i="10" s="1"/>
  <c r="I126" i="10" l="1"/>
  <c r="C127" i="10"/>
  <c r="G127" i="10" l="1"/>
  <c r="F127" i="10" s="1"/>
  <c r="H127" i="10" s="1"/>
  <c r="I127" i="10" l="1"/>
  <c r="C128" i="10"/>
  <c r="G128" i="10" s="1"/>
  <c r="F128" i="10" s="1"/>
  <c r="H128" i="10" l="1"/>
  <c r="C129" i="10" l="1"/>
  <c r="G129" i="10" s="1"/>
  <c r="I128" i="10"/>
  <c r="F129" i="10" l="1"/>
  <c r="H129" i="10" l="1"/>
  <c r="I129" i="10" l="1"/>
  <c r="C130" i="10"/>
  <c r="G130" i="10" s="1"/>
  <c r="F130" i="10" l="1"/>
  <c r="H130" i="10" l="1"/>
  <c r="C131" i="10" l="1"/>
  <c r="G131" i="10" s="1"/>
  <c r="I130" i="10"/>
  <c r="F131" i="10" l="1"/>
  <c r="H131" i="10" l="1"/>
  <c r="C132" i="10" l="1"/>
  <c r="G132" i="10" s="1"/>
  <c r="I131" i="10"/>
  <c r="F132" i="10" l="1"/>
  <c r="H132" i="10" l="1"/>
  <c r="I132" i="10" l="1"/>
  <c r="C133" i="10"/>
  <c r="G133" i="10" s="1"/>
  <c r="F133" i="10" l="1"/>
  <c r="H133" i="10" l="1"/>
  <c r="I133" i="10" l="1"/>
  <c r="C134" i="10"/>
  <c r="G134" i="10" s="1"/>
  <c r="F134" i="10" l="1"/>
  <c r="H134" i="10" l="1"/>
  <c r="I134" i="10" l="1"/>
  <c r="C135" i="10"/>
  <c r="G135" i="10" s="1"/>
  <c r="F135" i="10" l="1"/>
  <c r="H135" i="10" l="1"/>
  <c r="I135" i="10" l="1"/>
  <c r="C136" i="10"/>
  <c r="G136" i="10" s="1"/>
  <c r="F136" i="10" l="1"/>
  <c r="H136" i="10" l="1"/>
  <c r="E137" i="10" l="1"/>
  <c r="C137" i="10"/>
  <c r="I136" i="10"/>
  <c r="G137" i="10" l="1"/>
  <c r="F137" i="10" s="1"/>
  <c r="N26" i="10"/>
  <c r="H137" i="10" l="1"/>
  <c r="O26" i="10"/>
  <c r="C138" i="10" l="1"/>
  <c r="D137" i="10"/>
  <c r="I137" i="10" l="1"/>
  <c r="E138" i="10"/>
  <c r="G138" i="10" s="1"/>
  <c r="M20" i="10"/>
  <c r="P20" i="10" s="1"/>
  <c r="F138" i="10" l="1"/>
  <c r="H138" i="10" l="1"/>
  <c r="C139" i="10" l="1"/>
  <c r="G139" i="10" s="1"/>
  <c r="I138" i="10"/>
  <c r="M23" i="10"/>
  <c r="P23" i="10" s="1"/>
  <c r="F139" i="10" l="1"/>
  <c r="H139" i="10" l="1"/>
  <c r="C140" i="10" l="1"/>
  <c r="G140" i="10" s="1"/>
  <c r="I139" i="10"/>
  <c r="F140" i="10" l="1"/>
  <c r="H140" i="10" l="1"/>
  <c r="C141" i="10" l="1"/>
  <c r="G141" i="10" s="1"/>
  <c r="I140" i="10"/>
  <c r="F141" i="10" l="1"/>
  <c r="H141" i="10" l="1"/>
  <c r="M26" i="10"/>
  <c r="P26" i="10" s="1"/>
  <c r="I141" i="10" l="1"/>
  <c r="C142" i="10"/>
  <c r="G142" i="10" s="1"/>
  <c r="F142" i="10" l="1"/>
  <c r="H142" i="10" l="1"/>
  <c r="I142" i="10" l="1"/>
  <c r="C143" i="10"/>
  <c r="G143" i="10" s="1"/>
  <c r="F143" i="10" l="1"/>
  <c r="H143" i="10" l="1"/>
  <c r="M18" i="10"/>
  <c r="P18" i="10" s="1"/>
  <c r="C144" i="10" l="1"/>
  <c r="G144" i="10" s="1"/>
  <c r="I143" i="10"/>
  <c r="F144" i="10" l="1"/>
  <c r="H144" i="10" l="1"/>
  <c r="M21" i="10"/>
  <c r="P21" i="10" s="1"/>
  <c r="I144" i="10" l="1"/>
  <c r="C145" i="10"/>
  <c r="G145" i="10" s="1"/>
  <c r="F145" i="10" l="1"/>
  <c r="H145" i="10" l="1"/>
  <c r="I145" i="10" l="1"/>
  <c r="C146" i="10"/>
  <c r="G146" i="10" s="1"/>
  <c r="F146" i="10" l="1"/>
  <c r="H146" i="10" l="1"/>
  <c r="C147" i="10" l="1"/>
  <c r="G147" i="10" s="1"/>
  <c r="I146" i="10"/>
  <c r="M24" i="10"/>
  <c r="P24" i="10" s="1"/>
  <c r="F147" i="10" l="1"/>
  <c r="H147" i="10" l="1"/>
  <c r="I147" i="10" l="1"/>
  <c r="C148" i="10"/>
  <c r="G148" i="10" s="1"/>
  <c r="F148" i="10" l="1"/>
  <c r="H148" i="10" l="1"/>
  <c r="E149" i="10" l="1"/>
  <c r="C149" i="10"/>
  <c r="I148" i="10"/>
  <c r="G149" i="10" l="1"/>
  <c r="F149" i="10" s="1"/>
  <c r="N27" i="10"/>
  <c r="H149" i="10" l="1"/>
  <c r="O27" i="10"/>
  <c r="M27" i="10" l="1"/>
  <c r="P27" i="10" s="1"/>
  <c r="C150" i="10"/>
  <c r="D149" i="10"/>
  <c r="E150" i="10" l="1"/>
  <c r="G150" i="10" s="1"/>
  <c r="I149" i="10"/>
  <c r="F150" i="10" l="1"/>
  <c r="H150" i="10" s="1"/>
  <c r="C151" i="10" s="1"/>
  <c r="G151" i="10" s="1"/>
  <c r="I150" i="10" l="1"/>
  <c r="F151" i="10"/>
  <c r="H151" i="10" l="1"/>
  <c r="C152" i="10" l="1"/>
  <c r="G152" i="10" s="1"/>
  <c r="I151" i="10"/>
  <c r="M19" i="10"/>
  <c r="P19" i="10" s="1"/>
  <c r="F152" i="10" l="1"/>
  <c r="H152" i="10" l="1"/>
  <c r="I152" i="10" l="1"/>
  <c r="C153" i="10"/>
  <c r="G153" i="10" s="1"/>
  <c r="F153" i="10" l="1"/>
  <c r="H153" i="10" l="1"/>
  <c r="C154" i="10" l="1"/>
  <c r="G154" i="10" s="1"/>
  <c r="I153" i="10"/>
  <c r="F154" i="10" l="1"/>
  <c r="M22" i="10"/>
  <c r="P22" i="10" s="1"/>
  <c r="H154" i="10" l="1"/>
  <c r="C155" i="10" l="1"/>
  <c r="G155" i="10" s="1"/>
  <c r="I154" i="10"/>
  <c r="F155" i="10" l="1"/>
  <c r="H155" i="10" l="1"/>
  <c r="I155" i="10" l="1"/>
  <c r="C156" i="10"/>
  <c r="G156" i="10" s="1"/>
  <c r="F156" i="10" l="1"/>
  <c r="H156" i="10" l="1"/>
  <c r="C157" i="10" l="1"/>
  <c r="G157" i="10" s="1"/>
  <c r="I156" i="10"/>
  <c r="F157" i="10" l="1"/>
  <c r="M25" i="10"/>
  <c r="P25" i="10" s="1"/>
  <c r="H157" i="10" l="1"/>
  <c r="I157" i="10" l="1"/>
  <c r="C158" i="10"/>
  <c r="G158" i="10" s="1"/>
  <c r="F158" i="10" l="1"/>
  <c r="H158" i="10" l="1"/>
  <c r="I158" i="10" l="1"/>
  <c r="C159" i="10"/>
  <c r="G159" i="10" s="1"/>
  <c r="F159" i="10" l="1"/>
  <c r="H159" i="10" l="1"/>
  <c r="C160" i="10" l="1"/>
  <c r="G160" i="10" s="1"/>
  <c r="I159" i="10"/>
  <c r="F160" i="10" l="1"/>
  <c r="H160" i="10" l="1"/>
  <c r="E161" i="10" l="1"/>
  <c r="I160" i="10"/>
  <c r="C161" i="10"/>
  <c r="G161" i="10" l="1"/>
  <c r="F161" i="10" s="1"/>
  <c r="N28" i="10"/>
  <c r="H161" i="10" l="1"/>
  <c r="O28" i="10"/>
  <c r="M28" i="10" l="1"/>
  <c r="P28" i="10" s="1"/>
  <c r="C162" i="10"/>
  <c r="D161" i="10"/>
  <c r="I161" i="10" l="1"/>
  <c r="E162" i="10"/>
  <c r="G162" i="10" s="1"/>
  <c r="F162" i="10" l="1"/>
  <c r="H162" i="10" s="1"/>
  <c r="I162" i="10" l="1"/>
  <c r="C163" i="10"/>
  <c r="G163" i="10" s="1"/>
  <c r="F163" i="10" l="1"/>
  <c r="H163" i="10" l="1"/>
  <c r="C164" i="10" l="1"/>
  <c r="G164" i="10" s="1"/>
  <c r="I163" i="10"/>
  <c r="F164" i="10" l="1"/>
  <c r="H164" i="10" l="1"/>
  <c r="I164" i="10" l="1"/>
  <c r="C165" i="10"/>
  <c r="G165" i="10" s="1"/>
  <c r="F165" i="10" l="1"/>
  <c r="H165" i="10" l="1"/>
  <c r="I165" i="10" l="1"/>
  <c r="C166" i="10"/>
  <c r="G166" i="10" s="1"/>
  <c r="F166" i="10" l="1"/>
  <c r="H166" i="10" l="1"/>
  <c r="I166" i="10" l="1"/>
  <c r="C167" i="10"/>
  <c r="G167" i="10" s="1"/>
  <c r="F167" i="10" l="1"/>
  <c r="H167" i="10" l="1"/>
  <c r="C168" i="10" l="1"/>
  <c r="G168" i="10" s="1"/>
  <c r="I167" i="10"/>
  <c r="F168" i="10" l="1"/>
  <c r="H168" i="10" l="1"/>
  <c r="C169" i="10" l="1"/>
  <c r="G169" i="10" s="1"/>
  <c r="I168" i="10"/>
  <c r="F169" i="10" l="1"/>
  <c r="H169" i="10" l="1"/>
  <c r="I169" i="10" l="1"/>
  <c r="C170" i="10"/>
  <c r="G170" i="10" s="1"/>
  <c r="F170" i="10" l="1"/>
  <c r="H170" i="10" l="1"/>
  <c r="C171" i="10" l="1"/>
  <c r="G171" i="10" s="1"/>
  <c r="I170" i="10"/>
  <c r="F171" i="10" l="1"/>
  <c r="H171" i="10" l="1"/>
  <c r="I171" i="10" l="1"/>
  <c r="C172" i="10"/>
  <c r="G172" i="10" s="1"/>
  <c r="F172" i="10" l="1"/>
  <c r="H172" i="10" l="1"/>
  <c r="E173" i="10" l="1"/>
  <c r="I172" i="10"/>
  <c r="C173" i="10"/>
  <c r="G173" i="10" l="1"/>
  <c r="F173" i="10" s="1"/>
  <c r="N29" i="10"/>
  <c r="H173" i="10" l="1"/>
  <c r="O29" i="10"/>
  <c r="M29" i="10" l="1"/>
  <c r="P29" i="10" s="1"/>
  <c r="D173" i="10"/>
  <c r="C174" i="10"/>
  <c r="I173" i="10" l="1"/>
  <c r="E174" i="10"/>
  <c r="G174" i="10" l="1"/>
  <c r="F174" i="10" s="1"/>
  <c r="H174" i="10" s="1"/>
  <c r="I174" i="10" l="1"/>
  <c r="C175" i="10"/>
  <c r="G175" i="10" s="1"/>
  <c r="F175" i="10" s="1"/>
  <c r="H175" i="10" s="1"/>
  <c r="C176" i="10" l="1"/>
  <c r="G176" i="10" s="1"/>
  <c r="I175" i="10"/>
  <c r="F176" i="10" l="1"/>
  <c r="H176" i="10" l="1"/>
  <c r="C177" i="10" l="1"/>
  <c r="G177" i="10" s="1"/>
  <c r="I176" i="10"/>
  <c r="F177" i="10" l="1"/>
  <c r="H177" i="10" l="1"/>
  <c r="I177" i="10" l="1"/>
  <c r="C178" i="10"/>
  <c r="G178" i="10" s="1"/>
  <c r="F178" i="10" l="1"/>
  <c r="H178" i="10" l="1"/>
  <c r="C179" i="10" l="1"/>
  <c r="G179" i="10" s="1"/>
  <c r="I178" i="10"/>
  <c r="F179" i="10" l="1"/>
  <c r="H179" i="10" l="1"/>
  <c r="C180" i="10" l="1"/>
  <c r="G180" i="10" s="1"/>
  <c r="I179" i="10"/>
  <c r="F180" i="10" l="1"/>
  <c r="H180" i="10" l="1"/>
  <c r="C181" i="10" l="1"/>
  <c r="G181" i="10" s="1"/>
  <c r="I180" i="10"/>
  <c r="F181" i="10" l="1"/>
  <c r="H181" i="10" l="1"/>
  <c r="I181" i="10" l="1"/>
  <c r="C182" i="10"/>
  <c r="G182" i="10" s="1"/>
  <c r="F182" i="10" l="1"/>
  <c r="H182" i="10" l="1"/>
  <c r="I182" i="10" l="1"/>
  <c r="C183" i="10"/>
  <c r="G183" i="10" s="1"/>
  <c r="F183" i="10" l="1"/>
  <c r="H183" i="10" l="1"/>
  <c r="I183" i="10" l="1"/>
  <c r="C184" i="10"/>
  <c r="G184" i="10" s="1"/>
  <c r="F184" i="10" l="1"/>
  <c r="H184" i="10" l="1"/>
  <c r="E185" i="10" l="1"/>
  <c r="I184" i="10"/>
  <c r="C185" i="10"/>
  <c r="G185" i="10" l="1"/>
  <c r="F185" i="10" s="1"/>
  <c r="N30" i="10"/>
  <c r="H185" i="10" l="1"/>
  <c r="O30" i="10"/>
  <c r="M30" i="10" l="1"/>
  <c r="P30" i="10" s="1"/>
  <c r="D185" i="10"/>
  <c r="C186" i="10"/>
  <c r="E186" i="10" l="1"/>
  <c r="G186" i="10" s="1"/>
  <c r="I185" i="10"/>
  <c r="F186" i="10" l="1"/>
  <c r="H186" i="10" l="1"/>
  <c r="I186" i="10" l="1"/>
  <c r="C187" i="10"/>
  <c r="G187" i="10" s="1"/>
  <c r="F187" i="10" l="1"/>
  <c r="H187" i="10" l="1"/>
  <c r="C188" i="10" l="1"/>
  <c r="G188" i="10" s="1"/>
  <c r="I187" i="10"/>
  <c r="F188" i="10" l="1"/>
  <c r="H188" i="10" l="1"/>
  <c r="C189" i="10" l="1"/>
  <c r="G189" i="10" s="1"/>
  <c r="I188" i="10"/>
  <c r="F189" i="10" l="1"/>
  <c r="H189" i="10" l="1"/>
  <c r="C190" i="10" l="1"/>
  <c r="G190" i="10" s="1"/>
  <c r="I189" i="10"/>
  <c r="F190" i="10" l="1"/>
  <c r="H190" i="10" l="1"/>
  <c r="I190" i="10" l="1"/>
  <c r="C191" i="10"/>
  <c r="G191" i="10" s="1"/>
  <c r="F191" i="10" l="1"/>
  <c r="H191" i="10" l="1"/>
  <c r="C192" i="10" l="1"/>
  <c r="G192" i="10" s="1"/>
  <c r="I191" i="10"/>
  <c r="F192" i="10" l="1"/>
  <c r="H192" i="10" l="1"/>
  <c r="I192" i="10" l="1"/>
  <c r="C193" i="10"/>
  <c r="G193" i="10" s="1"/>
  <c r="F193" i="10" l="1"/>
  <c r="H193" i="10" l="1"/>
  <c r="C194" i="10" l="1"/>
  <c r="G194" i="10" s="1"/>
  <c r="I193" i="10"/>
  <c r="F194" i="10" l="1"/>
  <c r="H194" i="10" l="1"/>
  <c r="I194" i="10" l="1"/>
  <c r="C195" i="10"/>
  <c r="G195" i="10" s="1"/>
  <c r="F195" i="10" l="1"/>
  <c r="H195" i="10" l="1"/>
  <c r="I195" i="10" l="1"/>
  <c r="C196" i="10"/>
  <c r="G196" i="10" s="1"/>
  <c r="F196" i="10" l="1"/>
  <c r="H196" i="10" l="1"/>
  <c r="E197" i="10" l="1"/>
  <c r="C197" i="10"/>
  <c r="I196" i="10"/>
  <c r="G197" i="10" l="1"/>
  <c r="F197" i="10" s="1"/>
  <c r="N31" i="10"/>
  <c r="H197" i="10" l="1"/>
  <c r="O31" i="10"/>
  <c r="M31" i="10" l="1"/>
  <c r="P31" i="10" s="1"/>
  <c r="C198" i="10"/>
  <c r="D197" i="10"/>
  <c r="E198" i="10" l="1"/>
  <c r="G198" i="10" s="1"/>
  <c r="I197" i="10"/>
  <c r="F198" i="10" l="1"/>
  <c r="H198" i="10" s="1"/>
  <c r="C199" i="10" l="1"/>
  <c r="G199" i="10" s="1"/>
  <c r="I198" i="10"/>
  <c r="F199" i="10" l="1"/>
  <c r="H199" i="10" l="1"/>
  <c r="I199" i="10" l="1"/>
  <c r="C200" i="10"/>
  <c r="G200" i="10" s="1"/>
  <c r="F200" i="10" l="1"/>
  <c r="H200" i="10" l="1"/>
  <c r="C201" i="10" l="1"/>
  <c r="G201" i="10" s="1"/>
  <c r="I200" i="10"/>
  <c r="F201" i="10" l="1"/>
  <c r="H201" i="10" l="1"/>
  <c r="C202" i="10" l="1"/>
  <c r="G202" i="10" s="1"/>
  <c r="I201" i="10"/>
  <c r="F202" i="10" l="1"/>
  <c r="H202" i="10" l="1"/>
  <c r="I202" i="10" l="1"/>
  <c r="C203" i="10"/>
  <c r="G203" i="10" s="1"/>
  <c r="F203" i="10" l="1"/>
  <c r="H203" i="10" l="1"/>
  <c r="I203" i="10" l="1"/>
  <c r="C204" i="10"/>
  <c r="G204" i="10" s="1"/>
  <c r="F204" i="10" l="1"/>
  <c r="H204" i="10" l="1"/>
  <c r="I204" i="10" l="1"/>
  <c r="C205" i="10"/>
  <c r="G205" i="10" s="1"/>
  <c r="F205" i="10" l="1"/>
  <c r="H205" i="10" l="1"/>
  <c r="I205" i="10" l="1"/>
  <c r="C206" i="10"/>
  <c r="G206" i="10" s="1"/>
  <c r="F206" i="10" l="1"/>
  <c r="H206" i="10" l="1"/>
  <c r="I206" i="10" l="1"/>
  <c r="C207" i="10"/>
  <c r="G207" i="10" s="1"/>
  <c r="F207" i="10" l="1"/>
  <c r="H207" i="10" l="1"/>
  <c r="C208" i="10" l="1"/>
  <c r="G208" i="10" s="1"/>
  <c r="I207" i="10"/>
  <c r="F208" i="10" l="1"/>
  <c r="H208" i="10" l="1"/>
  <c r="E209" i="10" l="1"/>
  <c r="I208" i="10"/>
  <c r="C209" i="10"/>
  <c r="G209" i="10" l="1"/>
  <c r="F209" i="10" s="1"/>
  <c r="N32" i="10"/>
  <c r="H209" i="10" l="1"/>
  <c r="O32" i="10"/>
  <c r="M32" i="10" l="1"/>
  <c r="P32" i="10" s="1"/>
  <c r="C210" i="10"/>
  <c r="D209" i="10"/>
  <c r="I209" i="10" l="1"/>
  <c r="E210" i="10"/>
  <c r="G210" i="10" s="1"/>
  <c r="F210" i="10" l="1"/>
  <c r="H210" i="10" s="1"/>
  <c r="I210" i="10" l="1"/>
  <c r="C211" i="10"/>
  <c r="G211" i="10" s="1"/>
  <c r="F211" i="10" l="1"/>
  <c r="H211" i="10" l="1"/>
  <c r="C212" i="10" l="1"/>
  <c r="I211" i="10"/>
  <c r="G212" i="10" l="1"/>
  <c r="F212" i="10" s="1"/>
  <c r="H212" i="10" s="1"/>
  <c r="C213" i="10" l="1"/>
  <c r="I212" i="10"/>
  <c r="G213" i="10" l="1"/>
  <c r="F213" i="10" s="1"/>
  <c r="H213" i="10" s="1"/>
  <c r="I213" i="10" l="1"/>
  <c r="C214" i="10"/>
  <c r="G214" i="10" l="1"/>
  <c r="F214" i="10" s="1"/>
  <c r="H214" i="10" s="1"/>
  <c r="I214" i="10" l="1"/>
  <c r="C215" i="10"/>
  <c r="G215" i="10" l="1"/>
  <c r="F215" i="10" s="1"/>
  <c r="H215" i="10" s="1"/>
  <c r="C216" i="10" l="1"/>
  <c r="I215" i="10"/>
  <c r="G216" i="10" l="1"/>
  <c r="F216" i="10" s="1"/>
  <c r="H216" i="10" s="1"/>
  <c r="C217" i="10" l="1"/>
  <c r="I216" i="10"/>
  <c r="G217" i="10" l="1"/>
  <c r="F217" i="10" s="1"/>
  <c r="H217" i="10" s="1"/>
  <c r="I217" i="10" l="1"/>
  <c r="C218" i="10"/>
  <c r="G218" i="10" l="1"/>
  <c r="F218" i="10" s="1"/>
  <c r="H218" i="10" s="1"/>
  <c r="I218" i="10" l="1"/>
  <c r="C219" i="10"/>
  <c r="G219" i="10" l="1"/>
  <c r="F219" i="10" s="1"/>
  <c r="H219" i="10" s="1"/>
  <c r="C220" i="10" l="1"/>
  <c r="I219" i="10"/>
  <c r="G220" i="10" l="1"/>
  <c r="F220" i="10" s="1"/>
  <c r="H220" i="10" s="1"/>
  <c r="E221" i="10" l="1"/>
  <c r="C221" i="10"/>
  <c r="I220" i="10"/>
  <c r="G221" i="10" l="1"/>
  <c r="F221" i="10" s="1"/>
  <c r="N33" i="10"/>
  <c r="H221" i="10" l="1"/>
  <c r="O33" i="10"/>
  <c r="M33" i="10" l="1"/>
  <c r="P33" i="10" s="1"/>
  <c r="D221" i="10"/>
  <c r="C222" i="10"/>
  <c r="I221" i="10" l="1"/>
  <c r="E222" i="10"/>
  <c r="G222" i="10" l="1"/>
  <c r="F222" i="10" s="1"/>
  <c r="H222" i="10" s="1"/>
  <c r="I222" i="10" l="1"/>
  <c r="C223" i="10"/>
  <c r="G223" i="10" l="1"/>
  <c r="F223" i="10" s="1"/>
  <c r="H223" i="10" s="1"/>
  <c r="C224" i="10" l="1"/>
  <c r="I223" i="10"/>
  <c r="G224" i="10" l="1"/>
  <c r="F224" i="10" s="1"/>
  <c r="H224" i="10" s="1"/>
  <c r="C225" i="10" l="1"/>
  <c r="I224" i="10"/>
  <c r="G225" i="10" l="1"/>
  <c r="F225" i="10" s="1"/>
  <c r="H225" i="10" s="1"/>
  <c r="I225" i="10" l="1"/>
  <c r="C226" i="10"/>
  <c r="G226" i="10" l="1"/>
  <c r="F226" i="10" s="1"/>
  <c r="H226" i="10" s="1"/>
  <c r="I226" i="10" l="1"/>
  <c r="C227" i="10"/>
  <c r="G227" i="10" l="1"/>
  <c r="F227" i="10" s="1"/>
  <c r="H227" i="10" s="1"/>
  <c r="I227" i="10" l="1"/>
  <c r="C228" i="10"/>
  <c r="G228" i="10" l="1"/>
  <c r="F228" i="10" s="1"/>
  <c r="H228" i="10" s="1"/>
  <c r="C229" i="10" l="1"/>
  <c r="I228" i="10"/>
  <c r="G229" i="10" l="1"/>
  <c r="F229" i="10" s="1"/>
  <c r="H229" i="10" s="1"/>
  <c r="I229" i="10" l="1"/>
  <c r="C230" i="10"/>
  <c r="G230" i="10" l="1"/>
  <c r="F230" i="10" s="1"/>
  <c r="H230" i="10" s="1"/>
  <c r="I230" i="10" l="1"/>
  <c r="C231" i="10"/>
  <c r="G231" i="10" l="1"/>
  <c r="F231" i="10" s="1"/>
  <c r="H231" i="10" s="1"/>
  <c r="C232" i="10" l="1"/>
  <c r="I231" i="10"/>
  <c r="G232" i="10" l="1"/>
  <c r="F232" i="10" s="1"/>
  <c r="H232" i="10" l="1"/>
  <c r="E233" i="10" s="1"/>
  <c r="I232" i="10" l="1"/>
  <c r="C233" i="10"/>
  <c r="G233" i="10" l="1"/>
  <c r="F233" i="10" s="1"/>
  <c r="N34" i="10"/>
  <c r="H233" i="10" l="1"/>
  <c r="O34" i="10"/>
  <c r="M34" i="10" l="1"/>
  <c r="P34" i="10" s="1"/>
  <c r="D233" i="10"/>
  <c r="C234" i="10"/>
  <c r="E234" i="10" l="1"/>
  <c r="I233" i="10"/>
  <c r="G234" i="10" l="1"/>
  <c r="F234" i="10" s="1"/>
  <c r="H234" i="10" s="1"/>
  <c r="C235" i="10" l="1"/>
  <c r="I234" i="10"/>
  <c r="G235" i="10" l="1"/>
  <c r="F235" i="10" s="1"/>
  <c r="H235" i="10" s="1"/>
  <c r="C236" i="10" l="1"/>
  <c r="I235" i="10"/>
  <c r="G236" i="10" l="1"/>
  <c r="F236" i="10" s="1"/>
  <c r="H236" i="10" s="1"/>
  <c r="I236" i="10" l="1"/>
  <c r="C237" i="10"/>
  <c r="G237" i="10" l="1"/>
  <c r="F237" i="10" s="1"/>
  <c r="H237" i="10" s="1"/>
  <c r="I237" i="10" l="1"/>
  <c r="C238" i="10"/>
  <c r="G238" i="10" l="1"/>
  <c r="F238" i="10" s="1"/>
  <c r="H238" i="10" s="1"/>
  <c r="I238" i="10" l="1"/>
  <c r="C239" i="10"/>
  <c r="G239" i="10" l="1"/>
  <c r="F239" i="10" s="1"/>
  <c r="H239" i="10" s="1"/>
  <c r="C240" i="10" l="1"/>
  <c r="I239" i="10"/>
  <c r="G240" i="10" l="1"/>
  <c r="F240" i="10" s="1"/>
  <c r="H240" i="10" l="1"/>
  <c r="I240" i="10" l="1"/>
  <c r="C241" i="10"/>
  <c r="G241" i="10" l="1"/>
  <c r="F241" i="10" s="1"/>
  <c r="H241" i="10" l="1"/>
  <c r="C242" i="10" l="1"/>
  <c r="I241" i="10"/>
  <c r="G242" i="10" l="1"/>
  <c r="F242" i="10" s="1"/>
  <c r="H242" i="10" l="1"/>
  <c r="C243" i="10" l="1"/>
  <c r="I242" i="10"/>
  <c r="G243" i="10" l="1"/>
  <c r="F243" i="10" s="1"/>
  <c r="H243" i="10" l="1"/>
  <c r="I243" i="10" l="1"/>
  <c r="C244" i="10"/>
  <c r="G244" i="10" l="1"/>
  <c r="F244" i="10" s="1"/>
  <c r="H244" i="10" l="1"/>
  <c r="E245" i="10" s="1"/>
  <c r="C245" i="10" l="1"/>
  <c r="I244" i="10"/>
  <c r="G245" i="10" l="1"/>
  <c r="F245" i="10" s="1"/>
  <c r="N35" i="10"/>
  <c r="H245" i="10" l="1"/>
  <c r="O35" i="10"/>
  <c r="M35" i="10" l="1"/>
  <c r="P35" i="10" s="1"/>
  <c r="C246" i="10"/>
  <c r="D245" i="10"/>
  <c r="E246" i="10" l="1"/>
  <c r="G246" i="10" s="1"/>
  <c r="I245" i="10"/>
  <c r="F246" i="10" l="1"/>
  <c r="H246" i="10" s="1"/>
  <c r="I246" i="10" l="1"/>
  <c r="C247" i="10"/>
  <c r="G247" i="10" l="1"/>
  <c r="F247" i="10" s="1"/>
  <c r="H247" i="10" l="1"/>
  <c r="I247" i="10" l="1"/>
  <c r="C248" i="10"/>
  <c r="G248" i="10" l="1"/>
  <c r="F248" i="10" s="1"/>
  <c r="H248" i="10" l="1"/>
  <c r="I248" i="10" l="1"/>
  <c r="C249" i="10"/>
  <c r="G249" i="10" l="1"/>
  <c r="F249" i="10" s="1"/>
  <c r="H249" i="10" l="1"/>
  <c r="C250" i="10" l="1"/>
  <c r="I249" i="10"/>
  <c r="G250" i="10" l="1"/>
  <c r="F250" i="10" s="1"/>
  <c r="H250" i="10" l="1"/>
  <c r="C251" i="10" l="1"/>
  <c r="I250" i="10"/>
  <c r="G251" i="10" l="1"/>
  <c r="F251" i="10" s="1"/>
  <c r="H251" i="10" l="1"/>
  <c r="C252" i="10" l="1"/>
  <c r="I251" i="10"/>
  <c r="G252" i="10" l="1"/>
  <c r="F252" i="10" s="1"/>
  <c r="H252" i="10" l="1"/>
  <c r="C253" i="10" l="1"/>
  <c r="I252" i="10"/>
  <c r="G253" i="10" l="1"/>
  <c r="F253" i="10" s="1"/>
  <c r="H253" i="10" l="1"/>
  <c r="C254" i="10" l="1"/>
  <c r="I253" i="10"/>
  <c r="G254" i="10" l="1"/>
  <c r="F254" i="10" s="1"/>
  <c r="H254" i="10" l="1"/>
  <c r="C255" i="10" l="1"/>
  <c r="I254" i="10"/>
  <c r="G255" i="10" l="1"/>
  <c r="F255" i="10" s="1"/>
  <c r="H255" i="10" l="1"/>
  <c r="C256" i="10" l="1"/>
  <c r="I255" i="10"/>
  <c r="G256" i="10" l="1"/>
  <c r="F256" i="10" s="1"/>
  <c r="H256" i="10" l="1"/>
  <c r="E257" i="10" s="1"/>
  <c r="I256" i="10" l="1"/>
  <c r="C257" i="10"/>
  <c r="G257" i="10" l="1"/>
  <c r="F257" i="10" s="1"/>
  <c r="N36" i="10"/>
  <c r="H257" i="10" l="1"/>
  <c r="O36" i="10"/>
  <c r="M36" i="10" l="1"/>
  <c r="P36" i="10" s="1"/>
  <c r="C258" i="10"/>
  <c r="D257" i="10"/>
  <c r="I257" i="10" l="1"/>
  <c r="E258" i="10"/>
  <c r="G258" i="10" s="1"/>
  <c r="F258" i="10" l="1"/>
  <c r="H258" i="10" s="1"/>
  <c r="I258" i="10" l="1"/>
  <c r="C259" i="10"/>
  <c r="G259" i="10" l="1"/>
  <c r="F259" i="10" s="1"/>
  <c r="H259" i="10" l="1"/>
  <c r="C260" i="10" l="1"/>
  <c r="I259" i="10"/>
  <c r="G260" i="10" l="1"/>
  <c r="F260" i="10" s="1"/>
  <c r="H260" i="10" l="1"/>
  <c r="C261" i="10" l="1"/>
  <c r="I260" i="10"/>
  <c r="G261" i="10" l="1"/>
  <c r="F261" i="10" s="1"/>
  <c r="H261" i="10" l="1"/>
  <c r="I261" i="10" l="1"/>
  <c r="C262" i="10"/>
  <c r="G262" i="10" l="1"/>
  <c r="F262" i="10" s="1"/>
  <c r="H262" i="10" l="1"/>
  <c r="I262" i="10" l="1"/>
  <c r="C263" i="10"/>
  <c r="G263" i="10" l="1"/>
  <c r="F263" i="10" s="1"/>
  <c r="H263" i="10" l="1"/>
  <c r="I263" i="10" l="1"/>
  <c r="C264" i="10"/>
  <c r="G264" i="10" l="1"/>
  <c r="F264" i="10" s="1"/>
  <c r="H264" i="10" l="1"/>
  <c r="I264" i="10" l="1"/>
  <c r="C265" i="10"/>
  <c r="G265" i="10" l="1"/>
  <c r="F265" i="10" s="1"/>
  <c r="H265" i="10" l="1"/>
  <c r="I265" i="10" l="1"/>
  <c r="C266" i="10"/>
  <c r="G266" i="10" l="1"/>
  <c r="F266" i="10" s="1"/>
  <c r="H266" i="10" l="1"/>
  <c r="I266" i="10" l="1"/>
  <c r="C267" i="10"/>
  <c r="G267" i="10" l="1"/>
  <c r="F267" i="10" s="1"/>
  <c r="H267" i="10" l="1"/>
  <c r="I267" i="10" l="1"/>
  <c r="C268" i="10"/>
  <c r="G268" i="10" l="1"/>
  <c r="F268" i="10" s="1"/>
  <c r="H268" i="10" l="1"/>
  <c r="E269" i="10" s="1"/>
  <c r="C269" i="10" l="1"/>
  <c r="I268" i="10"/>
  <c r="G269" i="10" l="1"/>
  <c r="F269" i="10" s="1"/>
  <c r="N37" i="10"/>
  <c r="H269" i="10" l="1"/>
  <c r="O37" i="10"/>
  <c r="M37" i="10" l="1"/>
  <c r="P37" i="10" s="1"/>
  <c r="D269" i="10"/>
  <c r="C270" i="10"/>
  <c r="I269" i="10" l="1"/>
  <c r="E270" i="10"/>
  <c r="G270" i="10" l="1"/>
  <c r="F270" i="10" s="1"/>
  <c r="H270" i="10" l="1"/>
  <c r="I270" i="10" l="1"/>
  <c r="C271" i="10"/>
  <c r="G271" i="10" l="1"/>
  <c r="F271" i="10" s="1"/>
  <c r="H271" i="10" l="1"/>
  <c r="I271" i="10" l="1"/>
  <c r="C272" i="10"/>
  <c r="G272" i="10" l="1"/>
  <c r="F272" i="10" s="1"/>
  <c r="H272" i="10" l="1"/>
  <c r="I272" i="10" l="1"/>
  <c r="C273" i="10"/>
  <c r="G273" i="10" l="1"/>
  <c r="F273" i="10" s="1"/>
  <c r="H273" i="10" l="1"/>
  <c r="I273" i="10" l="1"/>
  <c r="C274" i="10"/>
  <c r="G274" i="10" l="1"/>
  <c r="F274" i="10" s="1"/>
  <c r="H274" i="10" l="1"/>
  <c r="I274" i="10" l="1"/>
  <c r="C275" i="10"/>
  <c r="G275" i="10" l="1"/>
  <c r="F275" i="10" s="1"/>
  <c r="H275" i="10" l="1"/>
  <c r="I275" i="10" l="1"/>
  <c r="C276" i="10"/>
  <c r="G276" i="10" l="1"/>
  <c r="F276" i="10" s="1"/>
  <c r="H276" i="10" l="1"/>
  <c r="C277" i="10" l="1"/>
  <c r="I276" i="10"/>
  <c r="G277" i="10" l="1"/>
  <c r="F277" i="10" s="1"/>
  <c r="H277" i="10" l="1"/>
  <c r="I277" i="10" l="1"/>
  <c r="C278" i="10"/>
  <c r="G278" i="10" l="1"/>
  <c r="F278" i="10" s="1"/>
  <c r="H278" i="10" l="1"/>
  <c r="I278" i="10" l="1"/>
  <c r="C279" i="10"/>
  <c r="G279" i="10" l="1"/>
  <c r="F279" i="10" s="1"/>
  <c r="H279" i="10" l="1"/>
  <c r="C280" i="10" l="1"/>
  <c r="I279" i="10"/>
  <c r="G280" i="10" l="1"/>
  <c r="F280" i="10" s="1"/>
  <c r="H280" i="10" l="1"/>
  <c r="E281" i="10" s="1"/>
  <c r="C281" i="10" l="1"/>
  <c r="I280" i="10"/>
  <c r="G281" i="10" l="1"/>
  <c r="F281" i="10" s="1"/>
  <c r="N38" i="10"/>
  <c r="H281" i="10" l="1"/>
  <c r="O38" i="10"/>
  <c r="M38" i="10" l="1"/>
  <c r="P38" i="10" s="1"/>
  <c r="C282" i="10"/>
  <c r="D281" i="10"/>
  <c r="I281" i="10" l="1"/>
  <c r="E282" i="10"/>
  <c r="G282" i="10" s="1"/>
  <c r="F282" i="10" l="1"/>
  <c r="H282" i="10" s="1"/>
  <c r="C283" i="10" l="1"/>
  <c r="I282" i="10"/>
  <c r="G283" i="10" l="1"/>
  <c r="F283" i="10" s="1"/>
  <c r="H283" i="10" l="1"/>
  <c r="C284" i="10" l="1"/>
  <c r="I283" i="10"/>
  <c r="G284" i="10" l="1"/>
  <c r="F284" i="10" s="1"/>
  <c r="H284" i="10" l="1"/>
  <c r="I284" i="10" l="1"/>
  <c r="C285" i="10"/>
  <c r="G285" i="10" l="1"/>
  <c r="F285" i="10" s="1"/>
  <c r="H285" i="10" l="1"/>
  <c r="C286" i="10" l="1"/>
  <c r="I285" i="10"/>
  <c r="G286" i="10" l="1"/>
  <c r="F286" i="10" s="1"/>
  <c r="H286" i="10" l="1"/>
  <c r="C287" i="10" l="1"/>
  <c r="I286" i="10"/>
  <c r="G287" i="10" l="1"/>
  <c r="F287" i="10" s="1"/>
  <c r="H287" i="10" l="1"/>
  <c r="C288" i="10" l="1"/>
  <c r="I287" i="10"/>
  <c r="G288" i="10" l="1"/>
  <c r="F288" i="10" s="1"/>
  <c r="H288" i="10" l="1"/>
  <c r="I288" i="10" l="1"/>
  <c r="C289" i="10"/>
  <c r="G289" i="10" l="1"/>
  <c r="F289" i="10" s="1"/>
  <c r="H289" i="10" l="1"/>
  <c r="C290" i="10" l="1"/>
  <c r="I289" i="10"/>
  <c r="G290" i="10" l="1"/>
  <c r="F290" i="10" s="1"/>
  <c r="H290" i="10" l="1"/>
  <c r="I290" i="10" l="1"/>
  <c r="C291" i="10"/>
  <c r="G291" i="10" l="1"/>
  <c r="F291" i="10" s="1"/>
  <c r="H291" i="10" l="1"/>
  <c r="C292" i="10" l="1"/>
  <c r="I291" i="10"/>
  <c r="G292" i="10" l="1"/>
  <c r="F292" i="10" s="1"/>
  <c r="H292" i="10" l="1"/>
  <c r="E293" i="10" s="1"/>
  <c r="I292" i="10" l="1"/>
  <c r="C293" i="10"/>
  <c r="G293" i="10" l="1"/>
  <c r="F293" i="10" s="1"/>
  <c r="N39" i="10"/>
  <c r="H293" i="10" l="1"/>
  <c r="O39" i="10"/>
  <c r="M39" i="10" l="1"/>
  <c r="P39" i="10" s="1"/>
  <c r="D293" i="10"/>
  <c r="C294" i="10"/>
  <c r="E294" i="10" l="1"/>
  <c r="I293" i="10"/>
  <c r="G294" i="10" l="1"/>
  <c r="F294" i="10" s="1"/>
  <c r="H294" i="10" l="1"/>
  <c r="I294" i="10" l="1"/>
  <c r="C295" i="10"/>
  <c r="G295" i="10" l="1"/>
  <c r="F295" i="10" s="1"/>
  <c r="H295" i="10" l="1"/>
  <c r="C296" i="10" l="1"/>
  <c r="I295" i="10"/>
  <c r="G296" i="10" l="1"/>
  <c r="F296" i="10" s="1"/>
  <c r="H296" i="10" l="1"/>
  <c r="C297" i="10" l="1"/>
  <c r="I296" i="10"/>
  <c r="G297" i="10" l="1"/>
  <c r="F297" i="10" s="1"/>
  <c r="H297" i="10" l="1"/>
  <c r="I297" i="10" l="1"/>
  <c r="C298" i="10"/>
  <c r="G298" i="10" l="1"/>
  <c r="F298" i="10" s="1"/>
  <c r="H298" i="10" l="1"/>
  <c r="C299" i="10" l="1"/>
  <c r="I298" i="10"/>
  <c r="G299" i="10" l="1"/>
  <c r="F299" i="10" s="1"/>
  <c r="H299" i="10" l="1"/>
  <c r="C300" i="10" l="1"/>
  <c r="I299" i="10"/>
  <c r="G300" i="10" l="1"/>
  <c r="F300" i="10" s="1"/>
  <c r="H300" i="10" l="1"/>
  <c r="I300" i="10" l="1"/>
  <c r="C301" i="10"/>
  <c r="G301" i="10" l="1"/>
  <c r="F301" i="10" s="1"/>
  <c r="H301" i="10" l="1"/>
  <c r="I301" i="10" l="1"/>
  <c r="C302" i="10"/>
  <c r="G302" i="10" l="1"/>
  <c r="F302" i="10" s="1"/>
  <c r="H302" i="10" l="1"/>
  <c r="C303" i="10" l="1"/>
  <c r="I302" i="10"/>
  <c r="G303" i="10" l="1"/>
  <c r="F303" i="10" s="1"/>
  <c r="H303" i="10" l="1"/>
  <c r="I303" i="10" l="1"/>
  <c r="C304" i="10"/>
  <c r="G304" i="10" l="1"/>
  <c r="F304" i="10" s="1"/>
  <c r="H304" i="10" l="1"/>
  <c r="E305" i="10" s="1"/>
  <c r="I304" i="10" l="1"/>
  <c r="C305" i="10"/>
  <c r="G305" i="10" l="1"/>
  <c r="F305" i="10" s="1"/>
  <c r="N40" i="10"/>
  <c r="H305" i="10" l="1"/>
  <c r="O40" i="10"/>
  <c r="M40" i="10" l="1"/>
  <c r="P40" i="10" s="1"/>
  <c r="C306" i="10"/>
  <c r="D305" i="10"/>
  <c r="E306" i="10" l="1"/>
  <c r="G306" i="10" s="1"/>
  <c r="I305" i="10"/>
  <c r="F306" i="10" l="1"/>
  <c r="H306" i="10" s="1"/>
  <c r="I306" i="10" l="1"/>
  <c r="C307" i="10"/>
  <c r="G307" i="10" l="1"/>
  <c r="F307" i="10" s="1"/>
  <c r="H307" i="10" l="1"/>
  <c r="I307" i="10" l="1"/>
  <c r="C308" i="10"/>
  <c r="G308" i="10" l="1"/>
  <c r="F308" i="10" s="1"/>
  <c r="H308" i="10" l="1"/>
  <c r="C309" i="10" l="1"/>
  <c r="I308" i="10"/>
  <c r="G309" i="10" l="1"/>
  <c r="F309" i="10" s="1"/>
  <c r="H309" i="10" l="1"/>
  <c r="C310" i="10" l="1"/>
  <c r="I309" i="10"/>
  <c r="G310" i="10" l="1"/>
  <c r="F310" i="10" s="1"/>
  <c r="H310" i="10" l="1"/>
  <c r="I310" i="10" l="1"/>
  <c r="C311" i="10"/>
  <c r="G311" i="10" l="1"/>
  <c r="F311" i="10" s="1"/>
  <c r="H311" i="10" l="1"/>
  <c r="C312" i="10" l="1"/>
  <c r="I311" i="10"/>
  <c r="G312" i="10" l="1"/>
  <c r="F312" i="10" s="1"/>
  <c r="H312" i="10" l="1"/>
  <c r="I312" i="10" l="1"/>
  <c r="C313" i="10"/>
  <c r="G313" i="10" l="1"/>
  <c r="F313" i="10" s="1"/>
  <c r="H313" i="10" l="1"/>
  <c r="C314" i="10" l="1"/>
  <c r="I313" i="10"/>
  <c r="G314" i="10" l="1"/>
  <c r="F314" i="10" s="1"/>
  <c r="H314" i="10" l="1"/>
  <c r="I314" i="10" l="1"/>
  <c r="C315" i="10"/>
  <c r="G315" i="10" l="1"/>
  <c r="F315" i="10" s="1"/>
  <c r="H315" i="10" l="1"/>
  <c r="I315" i="10" l="1"/>
  <c r="C316" i="10"/>
  <c r="G316" i="10" l="1"/>
  <c r="F316" i="10" s="1"/>
  <c r="H316" i="10" l="1"/>
  <c r="E317" i="10" s="1"/>
  <c r="I316" i="10" l="1"/>
  <c r="C317" i="10"/>
  <c r="G317" i="10" l="1"/>
  <c r="F317" i="10" s="1"/>
  <c r="N41" i="10"/>
  <c r="H317" i="10" l="1"/>
  <c r="O41" i="10"/>
  <c r="M41" i="10" l="1"/>
  <c r="P41" i="10" s="1"/>
  <c r="C318" i="10"/>
  <c r="D317" i="10"/>
  <c r="E318" i="10" s="1"/>
  <c r="G318" i="10" l="1"/>
  <c r="I317" i="10"/>
  <c r="F318" i="10" l="1"/>
  <c r="H318" i="10" s="1"/>
  <c r="I318" i="10" l="1"/>
  <c r="C319" i="10"/>
  <c r="G319" i="10" s="1"/>
  <c r="F319" i="10" s="1"/>
  <c r="H319" i="10" l="1"/>
  <c r="C320" i="10" l="1"/>
  <c r="G320" i="10" s="1"/>
  <c r="F320" i="10" s="1"/>
  <c r="I319" i="10"/>
  <c r="H320" i="10" l="1"/>
  <c r="C321" i="10" l="1"/>
  <c r="G321" i="10" s="1"/>
  <c r="F321" i="10" s="1"/>
  <c r="I320" i="10"/>
  <c r="H321" i="10" l="1"/>
  <c r="I321" i="10" l="1"/>
  <c r="C322" i="10"/>
  <c r="G322" i="10" s="1"/>
  <c r="F322" i="10" s="1"/>
  <c r="H322" i="10" l="1"/>
  <c r="C323" i="10" l="1"/>
  <c r="G323" i="10" s="1"/>
  <c r="F323" i="10" s="1"/>
  <c r="I322" i="10"/>
  <c r="H323" i="10" l="1"/>
  <c r="I323" i="10" l="1"/>
  <c r="C324" i="10"/>
  <c r="G324" i="10" s="1"/>
  <c r="F324" i="10" s="1"/>
  <c r="H324" i="10" l="1"/>
  <c r="I324" i="10" l="1"/>
  <c r="C325" i="10"/>
  <c r="G325" i="10" l="1"/>
  <c r="F325" i="10" s="1"/>
  <c r="H325" i="10" l="1"/>
  <c r="I325" i="10" l="1"/>
  <c r="C326" i="10"/>
  <c r="G326" i="10" s="1"/>
  <c r="F326" i="10" s="1"/>
  <c r="H326" i="10" l="1"/>
  <c r="C327" i="10" l="1"/>
  <c r="G327" i="10" s="1"/>
  <c r="F327" i="10" s="1"/>
  <c r="I326" i="10"/>
  <c r="H327" i="10" l="1"/>
  <c r="C328" i="10" l="1"/>
  <c r="I327" i="10"/>
  <c r="G328" i="10" l="1"/>
  <c r="F328" i="10" s="1"/>
  <c r="H328" i="10" l="1"/>
  <c r="E329" i="10" s="1"/>
  <c r="C329" i="10" l="1"/>
  <c r="G329" i="10" s="1"/>
  <c r="F329" i="10" s="1"/>
  <c r="H329" i="10" s="1"/>
  <c r="I328" i="10"/>
  <c r="N42" i="10"/>
  <c r="D329" i="10" l="1"/>
  <c r="E330" i="10" s="1"/>
  <c r="C330" i="10"/>
  <c r="O42" i="10"/>
  <c r="M42" i="10" l="1"/>
  <c r="P42" i="10" s="1"/>
  <c r="I329" i="10"/>
  <c r="G330" i="10" l="1"/>
  <c r="F330" i="10" s="1"/>
  <c r="H330" i="10" l="1"/>
  <c r="I330" i="10" l="1"/>
  <c r="C331" i="10"/>
  <c r="G331" i="10" s="1"/>
  <c r="F331" i="10" s="1"/>
  <c r="H331" i="10" l="1"/>
  <c r="C332" i="10" l="1"/>
  <c r="G332" i="10" s="1"/>
  <c r="F332" i="10" s="1"/>
  <c r="I331" i="10"/>
  <c r="H332" i="10" l="1"/>
  <c r="C333" i="10" l="1"/>
  <c r="G333" i="10" s="1"/>
  <c r="F333" i="10" s="1"/>
  <c r="I332" i="10"/>
  <c r="H333" i="10" l="1"/>
  <c r="I333" i="10" l="1"/>
  <c r="C334" i="10"/>
  <c r="G334" i="10" l="1"/>
  <c r="F334" i="10" s="1"/>
  <c r="H334" i="10" l="1"/>
  <c r="C335" i="10" l="1"/>
  <c r="G335" i="10" s="1"/>
  <c r="F335" i="10" s="1"/>
  <c r="I334" i="10"/>
  <c r="H335" i="10" l="1"/>
  <c r="I335" i="10" l="1"/>
  <c r="C336" i="10"/>
  <c r="G336" i="10" s="1"/>
  <c r="F336" i="10" s="1"/>
  <c r="H336" i="10" l="1"/>
  <c r="I336" i="10" l="1"/>
  <c r="C337" i="10"/>
  <c r="G337" i="10" s="1"/>
  <c r="F337" i="10" s="1"/>
  <c r="H337" i="10" l="1"/>
  <c r="I337" i="10" l="1"/>
  <c r="C338" i="10"/>
  <c r="G338" i="10" s="1"/>
  <c r="F338" i="10" s="1"/>
  <c r="H338" i="10" l="1"/>
  <c r="C339" i="10" l="1"/>
  <c r="G339" i="10" s="1"/>
  <c r="F339" i="10" s="1"/>
  <c r="I338" i="10"/>
  <c r="H339" i="10" l="1"/>
  <c r="I339" i="10" l="1"/>
  <c r="C340" i="10"/>
  <c r="G340" i="10" s="1"/>
  <c r="F340" i="10" s="1"/>
  <c r="H340" i="10" l="1"/>
  <c r="E341" i="10" s="1"/>
  <c r="I340" i="10" l="1"/>
  <c r="C341" i="10"/>
  <c r="G341" i="10" s="1"/>
  <c r="F341" i="10" s="1"/>
  <c r="N43" i="10"/>
  <c r="H341" i="10" l="1"/>
  <c r="O43" i="10"/>
  <c r="M43" i="10" l="1"/>
  <c r="P43" i="10" s="1"/>
  <c r="D341" i="10"/>
  <c r="E342" i="10" s="1"/>
  <c r="C342" i="10"/>
  <c r="I341" i="10" l="1"/>
  <c r="G342" i="10" l="1"/>
  <c r="F342" i="10" s="1"/>
  <c r="H342" i="10" l="1"/>
  <c r="C343" i="10" l="1"/>
  <c r="G343" i="10" s="1"/>
  <c r="F343" i="10" s="1"/>
  <c r="I342" i="10"/>
  <c r="H343" i="10" l="1"/>
  <c r="C344" i="10" l="1"/>
  <c r="G344" i="10" s="1"/>
  <c r="F344" i="10" s="1"/>
  <c r="I343" i="10"/>
  <c r="H344" i="10" l="1"/>
  <c r="I344" i="10" l="1"/>
  <c r="C345" i="10"/>
  <c r="G345" i="10" s="1"/>
  <c r="F345" i="10" s="1"/>
  <c r="H345" i="10" l="1"/>
  <c r="C346" i="10" l="1"/>
  <c r="G346" i="10" s="1"/>
  <c r="F346" i="10" s="1"/>
  <c r="I345" i="10"/>
  <c r="H346" i="10" l="1"/>
  <c r="I346" i="10" l="1"/>
  <c r="C347" i="10"/>
  <c r="G347" i="10" s="1"/>
  <c r="F347" i="10" s="1"/>
  <c r="H347" i="10" l="1"/>
  <c r="C348" i="10" l="1"/>
  <c r="G348" i="10" s="1"/>
  <c r="F348" i="10" s="1"/>
  <c r="I347" i="10"/>
  <c r="H348" i="10" l="1"/>
  <c r="C349" i="10" l="1"/>
  <c r="G349" i="10" s="1"/>
  <c r="F349" i="10" s="1"/>
  <c r="I348" i="10"/>
  <c r="H349" i="10" l="1"/>
  <c r="C350" i="10" l="1"/>
  <c r="G350" i="10" s="1"/>
  <c r="F350" i="10" s="1"/>
  <c r="I349" i="10"/>
  <c r="H350" i="10" l="1"/>
  <c r="C351" i="10" l="1"/>
  <c r="G351" i="10" s="1"/>
  <c r="F351" i="10" s="1"/>
  <c r="I350" i="10"/>
  <c r="H351" i="10" l="1"/>
  <c r="C352" i="10" l="1"/>
  <c r="G352" i="10" s="1"/>
  <c r="F352" i="10" s="1"/>
  <c r="H352" i="10" s="1"/>
  <c r="E353" i="10" s="1"/>
  <c r="I351" i="10"/>
  <c r="I352" i="10" l="1"/>
  <c r="C353" i="10"/>
  <c r="G353" i="10" s="1"/>
  <c r="F353" i="10" s="1"/>
  <c r="N44" i="10"/>
  <c r="H353" i="10" l="1"/>
  <c r="O44" i="10"/>
  <c r="M44" i="10" l="1"/>
  <c r="P44" i="10" s="1"/>
  <c r="D353" i="10"/>
  <c r="C354" i="10"/>
  <c r="E354" i="10" l="1"/>
  <c r="I353" i="10"/>
  <c r="G354" i="10" l="1"/>
  <c r="F354" i="10" s="1"/>
  <c r="H354" i="10" l="1"/>
  <c r="I354" i="10" l="1"/>
  <c r="C355" i="10"/>
  <c r="G355" i="10" s="1"/>
  <c r="F355" i="10" s="1"/>
  <c r="H355" i="10" l="1"/>
  <c r="I355" i="10" l="1"/>
  <c r="C356" i="10"/>
  <c r="G356" i="10" s="1"/>
  <c r="F356" i="10" s="1"/>
  <c r="H356" i="10" l="1"/>
  <c r="I356" i="10" l="1"/>
  <c r="C357" i="10"/>
  <c r="G357" i="10" s="1"/>
  <c r="F357" i="10" s="1"/>
  <c r="H357" i="10" l="1"/>
  <c r="I357" i="10" l="1"/>
  <c r="C358" i="10"/>
  <c r="G358" i="10" s="1"/>
  <c r="F358" i="10" s="1"/>
  <c r="H358" i="10" l="1"/>
  <c r="I358" i="10" l="1"/>
  <c r="C359" i="10"/>
  <c r="G359" i="10" s="1"/>
  <c r="F359" i="10" s="1"/>
  <c r="H359" i="10" l="1"/>
  <c r="I359" i="10" l="1"/>
  <c r="C360" i="10"/>
  <c r="G360" i="10" s="1"/>
  <c r="F360" i="10" s="1"/>
  <c r="H360" i="10" l="1"/>
  <c r="I360" i="10" l="1"/>
  <c r="C361" i="10"/>
  <c r="G361" i="10" s="1"/>
  <c r="F361" i="10" s="1"/>
  <c r="H361" i="10" l="1"/>
  <c r="I361" i="10" l="1"/>
  <c r="C362" i="10"/>
  <c r="G362" i="10" s="1"/>
  <c r="F362" i="10" s="1"/>
  <c r="H362" i="10" s="1"/>
  <c r="I362" i="10" l="1"/>
  <c r="C363" i="10"/>
  <c r="G363" i="10" s="1"/>
  <c r="F363" i="10" s="1"/>
  <c r="H363" i="10" s="1"/>
  <c r="C364" i="10" l="1"/>
  <c r="G364" i="10" s="1"/>
  <c r="F364" i="10" s="1"/>
  <c r="H364" i="10" s="1"/>
  <c r="E365" i="10" s="1"/>
  <c r="I363" i="10"/>
  <c r="C365" i="10" l="1"/>
  <c r="G365" i="10" s="1"/>
  <c r="F365" i="10" s="1"/>
  <c r="H365" i="10" s="1"/>
  <c r="I364" i="10"/>
  <c r="N45" i="10"/>
  <c r="C366" i="10" l="1"/>
  <c r="D365" i="10"/>
  <c r="O45" i="10"/>
  <c r="E366" i="10" l="1"/>
  <c r="G366" i="10" s="1"/>
  <c r="M45" i="10"/>
  <c r="P45" i="10" s="1"/>
  <c r="I365" i="10"/>
  <c r="F366" i="10" l="1"/>
  <c r="H366" i="10" l="1"/>
  <c r="I366" i="10" l="1"/>
  <c r="C367" i="10"/>
  <c r="G367" i="10" s="1"/>
  <c r="F367" i="10" s="1"/>
  <c r="H367" i="10" l="1"/>
  <c r="I367" i="10" l="1"/>
  <c r="C368" i="10"/>
  <c r="G368" i="10" s="1"/>
  <c r="F368" i="10" s="1"/>
  <c r="H368" i="10" l="1"/>
  <c r="I368" i="10" l="1"/>
  <c r="C369" i="10"/>
  <c r="G369" i="10" s="1"/>
  <c r="F369" i="10" s="1"/>
  <c r="H369" i="10" l="1"/>
  <c r="C370" i="10" l="1"/>
  <c r="G370" i="10" s="1"/>
  <c r="F370" i="10" s="1"/>
  <c r="I369" i="10"/>
  <c r="H370" i="10" l="1"/>
  <c r="I370" i="10" l="1"/>
  <c r="C371" i="10"/>
  <c r="G371" i="10" s="1"/>
  <c r="F371" i="10" s="1"/>
  <c r="H371" i="10" l="1"/>
  <c r="I371" i="10" l="1"/>
  <c r="C372" i="10"/>
  <c r="G372" i="10" s="1"/>
  <c r="F372" i="10" s="1"/>
  <c r="H372" i="10" s="1"/>
  <c r="C373" i="10" l="1"/>
  <c r="G373" i="10" s="1"/>
  <c r="F373" i="10" s="1"/>
  <c r="H373" i="10" s="1"/>
  <c r="I372" i="10"/>
  <c r="I373" i="10" l="1"/>
  <c r="C374" i="10"/>
  <c r="G374" i="10" s="1"/>
  <c r="F374" i="10" s="1"/>
  <c r="H374" i="10" l="1"/>
  <c r="I374" i="10" l="1"/>
  <c r="C375" i="10"/>
  <c r="G375" i="10" s="1"/>
  <c r="F375" i="10" s="1"/>
  <c r="H375" i="10" l="1"/>
  <c r="I375" i="10" l="1"/>
  <c r="C376" i="10"/>
  <c r="G376" i="10" s="1"/>
  <c r="F376" i="10" s="1"/>
  <c r="H376" i="10" s="1"/>
  <c r="E377" i="10" s="1"/>
  <c r="I376" i="10" l="1"/>
  <c r="C377" i="10"/>
  <c r="G377" i="10" s="1"/>
  <c r="F377" i="10" s="1"/>
  <c r="H377" i="10" s="1"/>
  <c r="N46" i="10"/>
  <c r="D377" i="10" l="1"/>
  <c r="C378" i="10"/>
  <c r="O46" i="10"/>
  <c r="E378" i="10" l="1"/>
  <c r="M46" i="10"/>
  <c r="P46" i="10" s="1"/>
  <c r="I377" i="10"/>
  <c r="G378" i="10" l="1"/>
  <c r="F378" i="10" s="1"/>
  <c r="H378" i="10" l="1"/>
  <c r="C379" i="10" l="1"/>
  <c r="G379" i="10" s="1"/>
  <c r="F379" i="10" s="1"/>
  <c r="I378" i="10"/>
  <c r="H379" i="10" l="1"/>
  <c r="C380" i="10" l="1"/>
  <c r="G380" i="10" s="1"/>
  <c r="F380" i="10" s="1"/>
  <c r="H380" i="10" s="1"/>
  <c r="I379" i="10"/>
  <c r="C381" i="10" l="1"/>
  <c r="G381" i="10" s="1"/>
  <c r="F381" i="10" s="1"/>
  <c r="H381" i="10" s="1"/>
  <c r="I380" i="10"/>
  <c r="C382" i="10" l="1"/>
  <c r="G382" i="10" s="1"/>
  <c r="F382" i="10" s="1"/>
  <c r="H382" i="10" s="1"/>
  <c r="I381" i="10"/>
  <c r="C383" i="10" l="1"/>
  <c r="G383" i="10" s="1"/>
  <c r="F383" i="10" s="1"/>
  <c r="H383" i="10" s="1"/>
  <c r="I382" i="10"/>
  <c r="I383" i="10" l="1"/>
  <c r="C384" i="10"/>
  <c r="G384" i="10" s="1"/>
  <c r="F384" i="10" s="1"/>
  <c r="H384" i="10" l="1"/>
  <c r="I384" i="10" l="1"/>
  <c r="C385" i="10"/>
  <c r="G385" i="10" s="1"/>
  <c r="F385" i="10" s="1"/>
  <c r="H385" i="10" s="1"/>
  <c r="I385" i="10" l="1"/>
  <c r="C386" i="10"/>
  <c r="G386" i="10" s="1"/>
  <c r="F386" i="10" s="1"/>
  <c r="H386" i="10" s="1"/>
  <c r="C387" i="10" l="1"/>
  <c r="G387" i="10" s="1"/>
  <c r="F387" i="10" s="1"/>
  <c r="H387" i="10" s="1"/>
  <c r="I386" i="10"/>
  <c r="I387" i="10" l="1"/>
  <c r="C388" i="10"/>
  <c r="G388" i="10" s="1"/>
  <c r="F388" i="10" s="1"/>
  <c r="H388" i="10" s="1"/>
  <c r="E389" i="10" s="1"/>
  <c r="I388" i="10" l="1"/>
  <c r="C389" i="10"/>
  <c r="G389" i="10" s="1"/>
  <c r="F389" i="10" s="1"/>
  <c r="H389" i="10" s="1"/>
  <c r="N47" i="10"/>
  <c r="C390" i="10" l="1"/>
  <c r="D389" i="10"/>
  <c r="O47" i="10"/>
  <c r="E390" i="10" l="1"/>
  <c r="G390" i="10" s="1"/>
  <c r="M47" i="10"/>
  <c r="P47" i="10" s="1"/>
  <c r="I389" i="10"/>
  <c r="F390" i="10" l="1"/>
  <c r="H390" i="10" s="1"/>
  <c r="C391" i="10" l="1"/>
  <c r="G391" i="10" s="1"/>
  <c r="F391" i="10" s="1"/>
  <c r="H391" i="10" s="1"/>
  <c r="I390" i="10"/>
  <c r="C392" i="10" l="1"/>
  <c r="G392" i="10" s="1"/>
  <c r="F392" i="10" s="1"/>
  <c r="H392" i="10" s="1"/>
  <c r="I391" i="10"/>
  <c r="I392" i="10" l="1"/>
  <c r="C393" i="10"/>
  <c r="G393" i="10" s="1"/>
  <c r="F393" i="10" s="1"/>
  <c r="H393" i="10" l="1"/>
  <c r="C394" i="10" l="1"/>
  <c r="G394" i="10" s="1"/>
  <c r="F394" i="10" s="1"/>
  <c r="H394" i="10" s="1"/>
  <c r="I393" i="10"/>
  <c r="C395" i="10" l="1"/>
  <c r="G395" i="10" s="1"/>
  <c r="F395" i="10" s="1"/>
  <c r="H395" i="10" s="1"/>
  <c r="I394" i="10"/>
  <c r="I395" i="10" l="1"/>
  <c r="C396" i="10"/>
  <c r="G396" i="10" s="1"/>
  <c r="F396" i="10" s="1"/>
  <c r="H396" i="10" s="1"/>
  <c r="I396" i="10" l="1"/>
  <c r="C397" i="10"/>
  <c r="G397" i="10" s="1"/>
  <c r="F397" i="10" s="1"/>
  <c r="H397" i="10" s="1"/>
  <c r="C398" i="10" l="1"/>
  <c r="G398" i="10" s="1"/>
  <c r="F398" i="10" s="1"/>
  <c r="H398" i="10" s="1"/>
  <c r="I397" i="10"/>
  <c r="I398" i="10" l="1"/>
  <c r="C399" i="10"/>
  <c r="G399" i="10" s="1"/>
  <c r="F399" i="10" s="1"/>
  <c r="H399" i="10" s="1"/>
  <c r="C400" i="10" l="1"/>
  <c r="G400" i="10" s="1"/>
  <c r="F400" i="10" s="1"/>
  <c r="H400" i="10" s="1"/>
  <c r="E401" i="10" s="1"/>
  <c r="I399" i="10"/>
  <c r="O17" i="10"/>
  <c r="I400" i="10" l="1"/>
  <c r="C401" i="10"/>
  <c r="G401" i="10" s="1"/>
  <c r="F401" i="10" s="1"/>
  <c r="H401" i="10" s="1"/>
  <c r="M17" i="10"/>
  <c r="N48" i="10"/>
  <c r="P17" i="10" l="1"/>
  <c r="C402" i="10"/>
  <c r="D401" i="10"/>
  <c r="O48" i="10"/>
  <c r="E402" i="10" l="1"/>
  <c r="M48" i="10"/>
  <c r="I401" i="10"/>
  <c r="P48" i="10" l="1"/>
  <c r="G402" i="10"/>
  <c r="F402" i="10" s="1"/>
  <c r="H402" i="10" s="1"/>
  <c r="I402" i="10" l="1"/>
  <c r="C403" i="10"/>
  <c r="G403" i="10" s="1"/>
  <c r="F403" i="10" s="1"/>
  <c r="H403" i="10" s="1"/>
  <c r="I403" i="10" l="1"/>
  <c r="C404" i="10"/>
  <c r="G404" i="10" s="1"/>
  <c r="F404" i="10" s="1"/>
  <c r="H404" i="10" s="1"/>
  <c r="C405" i="10" l="1"/>
  <c r="G405" i="10" s="1"/>
  <c r="F405" i="10" s="1"/>
  <c r="H405" i="10" s="1"/>
  <c r="I404" i="10"/>
  <c r="I405" i="10" l="1"/>
  <c r="C406" i="10"/>
  <c r="G406" i="10" s="1"/>
  <c r="F406" i="10" s="1"/>
  <c r="H406" i="10" s="1"/>
  <c r="I406" i="10" l="1"/>
  <c r="C407" i="10"/>
  <c r="G407" i="10" s="1"/>
  <c r="F407" i="10" s="1"/>
  <c r="H407" i="10" s="1"/>
  <c r="C408" i="10" l="1"/>
  <c r="G408" i="10" s="1"/>
  <c r="F408" i="10" s="1"/>
  <c r="H408" i="10" s="1"/>
  <c r="I407" i="10"/>
  <c r="I408" i="10" l="1"/>
  <c r="C409" i="10"/>
  <c r="G409" i="10" s="1"/>
  <c r="F409" i="10" s="1"/>
  <c r="H409" i="10" s="1"/>
  <c r="I409" i="10" l="1"/>
  <c r="C410" i="10"/>
  <c r="G410" i="10" s="1"/>
  <c r="F410" i="10" s="1"/>
  <c r="H410" i="10" s="1"/>
  <c r="I410" i="10" l="1"/>
  <c r="C411" i="10"/>
  <c r="G411" i="10" s="1"/>
  <c r="F411" i="10" s="1"/>
  <c r="H411" i="10" s="1"/>
  <c r="I411" i="10" l="1"/>
  <c r="C412" i="10"/>
  <c r="G412" i="10" s="1"/>
  <c r="F412" i="10" s="1"/>
  <c r="H412" i="10" l="1"/>
  <c r="E413" i="10" s="1"/>
  <c r="C413" i="10" l="1"/>
  <c r="G413" i="10" s="1"/>
  <c r="F413" i="10" s="1"/>
  <c r="H413" i="10" s="1"/>
  <c r="I412" i="10"/>
  <c r="N49" i="10"/>
  <c r="C414" i="10" l="1"/>
  <c r="D413" i="10"/>
  <c r="O49" i="10"/>
  <c r="E414" i="10" l="1"/>
  <c r="G414" i="10" s="1"/>
  <c r="M49" i="10"/>
  <c r="I413" i="10"/>
  <c r="P49" i="10" l="1"/>
  <c r="F414" i="10"/>
  <c r="H414" i="10" s="1"/>
  <c r="C415" i="10" l="1"/>
  <c r="G415" i="10" s="1"/>
  <c r="F415" i="10" s="1"/>
  <c r="H415" i="10" s="1"/>
  <c r="C416" i="10" s="1"/>
  <c r="G416" i="10" s="1"/>
  <c r="I414" i="10"/>
  <c r="I415" i="10" l="1"/>
  <c r="F416" i="10"/>
  <c r="H416" i="10" l="1"/>
  <c r="I416" i="10" l="1"/>
  <c r="C417" i="10"/>
  <c r="G417" i="10" s="1"/>
  <c r="F417" i="10" l="1"/>
  <c r="H417" i="10" l="1"/>
  <c r="I417" i="10" l="1"/>
  <c r="C418" i="10"/>
  <c r="G418" i="10" s="1"/>
  <c r="F418" i="10" l="1"/>
  <c r="H418" i="10" l="1"/>
  <c r="C419" i="10" l="1"/>
  <c r="G419" i="10" s="1"/>
  <c r="I418" i="10"/>
  <c r="F419" i="10" l="1"/>
  <c r="H419" i="10" l="1"/>
  <c r="C420" i="10" l="1"/>
  <c r="G420" i="10" s="1"/>
  <c r="I419" i="10"/>
  <c r="F420" i="10" l="1"/>
  <c r="H420" i="10" l="1"/>
  <c r="I420" i="10" l="1"/>
  <c r="C421" i="10"/>
  <c r="G421" i="10" s="1"/>
  <c r="F421" i="10" l="1"/>
  <c r="H421" i="10" l="1"/>
  <c r="C422" i="10" l="1"/>
  <c r="G422" i="10" s="1"/>
  <c r="I421" i="10"/>
  <c r="F422" i="10" l="1"/>
  <c r="H422" i="10" l="1"/>
  <c r="I422" i="10" l="1"/>
  <c r="C423" i="10"/>
  <c r="G423" i="10" s="1"/>
  <c r="F423" i="10" l="1"/>
  <c r="H423" i="10" l="1"/>
  <c r="C424" i="10" l="1"/>
  <c r="G424" i="10" s="1"/>
  <c r="I423" i="10"/>
  <c r="F424" i="10" l="1"/>
  <c r="H424" i="10" l="1"/>
  <c r="E425" i="10" s="1"/>
  <c r="C425" i="10" l="1"/>
  <c r="I424" i="10"/>
  <c r="G425" i="10" l="1"/>
  <c r="F425" i="10" s="1"/>
  <c r="N50" i="10"/>
  <c r="H425" i="10" l="1"/>
  <c r="O50" i="10"/>
  <c r="M50" i="10" l="1"/>
  <c r="C426" i="10"/>
  <c r="D425" i="10"/>
  <c r="P50" i="10" l="1"/>
  <c r="E426" i="10"/>
  <c r="G426" i="10" s="1"/>
  <c r="I425" i="10"/>
  <c r="F426" i="10" l="1"/>
  <c r="H426" i="10" l="1"/>
  <c r="C427" i="10" l="1"/>
  <c r="G427" i="10" s="1"/>
  <c r="I426" i="10"/>
  <c r="F427" i="10" l="1"/>
  <c r="H427" i="10" l="1"/>
  <c r="C428" i="10" l="1"/>
  <c r="G428" i="10" s="1"/>
  <c r="I427" i="10"/>
  <c r="F428" i="10" l="1"/>
  <c r="H428" i="10" l="1"/>
  <c r="C429" i="10" l="1"/>
  <c r="G429" i="10" s="1"/>
  <c r="I428" i="10"/>
  <c r="F429" i="10" l="1"/>
  <c r="H429" i="10" l="1"/>
  <c r="C430" i="10" l="1"/>
  <c r="G430" i="10" s="1"/>
  <c r="I429" i="10"/>
  <c r="F430" i="10" l="1"/>
  <c r="H430" i="10" l="1"/>
  <c r="I430" i="10" l="1"/>
  <c r="C431" i="10"/>
  <c r="G431" i="10" s="1"/>
  <c r="F431" i="10" l="1"/>
  <c r="H431" i="10" l="1"/>
  <c r="C432" i="10" l="1"/>
  <c r="G432" i="10" s="1"/>
  <c r="I431" i="10"/>
  <c r="F432" i="10" l="1"/>
  <c r="H432" i="10" l="1"/>
  <c r="I432" i="10" l="1"/>
  <c r="C433" i="10"/>
  <c r="G433" i="10" s="1"/>
  <c r="F433" i="10" l="1"/>
  <c r="H433" i="10" l="1"/>
  <c r="C434" i="10" l="1"/>
  <c r="G434" i="10" s="1"/>
  <c r="I433" i="10"/>
  <c r="F434" i="10" l="1"/>
  <c r="H434" i="10" l="1"/>
  <c r="I434" i="10" l="1"/>
  <c r="C435" i="10"/>
  <c r="G435" i="10" s="1"/>
  <c r="F435" i="10" l="1"/>
  <c r="H435" i="10" l="1"/>
  <c r="C436" i="10" l="1"/>
  <c r="G436" i="10" s="1"/>
  <c r="I435" i="10"/>
  <c r="F436" i="10" l="1"/>
  <c r="H436" i="10" l="1"/>
  <c r="E437" i="10" s="1"/>
  <c r="I436" i="10" l="1"/>
  <c r="C437" i="10"/>
  <c r="G437" i="10" l="1"/>
  <c r="F437" i="10" s="1"/>
  <c r="N51" i="10"/>
  <c r="H437" i="10" l="1"/>
  <c r="O51" i="10"/>
  <c r="M51" i="10" l="1"/>
  <c r="C438" i="10"/>
  <c r="D437" i="10"/>
  <c r="P51" i="10" l="1"/>
  <c r="E438" i="10"/>
  <c r="G438" i="10" s="1"/>
  <c r="I437" i="10"/>
  <c r="F438" i="10" l="1"/>
  <c r="H438" i="10" s="1"/>
  <c r="C439" i="10" s="1"/>
  <c r="G439" i="10" s="1"/>
  <c r="I438" i="10" l="1"/>
  <c r="F439" i="10"/>
  <c r="H439" i="10" l="1"/>
  <c r="I439" i="10" l="1"/>
  <c r="C440" i="10"/>
  <c r="G440" i="10" s="1"/>
  <c r="F440" i="10" l="1"/>
  <c r="H440" i="10" l="1"/>
  <c r="I440" i="10" l="1"/>
  <c r="C441" i="10"/>
  <c r="G441" i="10" s="1"/>
  <c r="F441" i="10" l="1"/>
  <c r="H441" i="10" l="1"/>
  <c r="I441" i="10" l="1"/>
  <c r="C442" i="10"/>
  <c r="G442" i="10" s="1"/>
  <c r="F442" i="10" l="1"/>
  <c r="H442" i="10" l="1"/>
  <c r="I442" i="10" l="1"/>
  <c r="C443" i="10"/>
  <c r="G443" i="10" s="1"/>
  <c r="F443" i="10" l="1"/>
  <c r="H443" i="10" l="1"/>
  <c r="I443" i="10" l="1"/>
  <c r="C444" i="10"/>
  <c r="G444" i="10" s="1"/>
  <c r="F444" i="10" l="1"/>
  <c r="H444" i="10" l="1"/>
  <c r="C445" i="10" l="1"/>
  <c r="G445" i="10" s="1"/>
  <c r="I444" i="10"/>
  <c r="F445" i="10" l="1"/>
  <c r="H445" i="10" l="1"/>
  <c r="I445" i="10" l="1"/>
  <c r="C446" i="10"/>
  <c r="G446" i="10" s="1"/>
  <c r="F446" i="10" l="1"/>
  <c r="H446" i="10" l="1"/>
  <c r="C447" i="10" l="1"/>
  <c r="G447" i="10" s="1"/>
  <c r="I446" i="10"/>
  <c r="F447" i="10" l="1"/>
  <c r="H447" i="10" l="1"/>
  <c r="I447" i="10" l="1"/>
  <c r="C448" i="10"/>
  <c r="G448" i="10" s="1"/>
  <c r="F448" i="10" l="1"/>
  <c r="H448" i="10" l="1"/>
  <c r="E449" i="10" s="1"/>
  <c r="C449" i="10" l="1"/>
  <c r="I448" i="10"/>
  <c r="G449" i="10" l="1"/>
  <c r="F449" i="10" s="1"/>
  <c r="N52" i="10"/>
  <c r="H449" i="10" l="1"/>
  <c r="O52" i="10"/>
  <c r="C450" i="10" l="1"/>
  <c r="D449" i="10"/>
  <c r="M52" i="10"/>
  <c r="P52" i="10" s="1"/>
  <c r="E450" i="10" l="1"/>
  <c r="G450" i="10" s="1"/>
  <c r="I449" i="10"/>
  <c r="F450" i="10" l="1"/>
  <c r="H450" i="10" l="1"/>
  <c r="C451" i="10" l="1"/>
  <c r="G451" i="10" s="1"/>
  <c r="I450" i="10"/>
  <c r="F451" i="10" l="1"/>
  <c r="H451" i="10" l="1"/>
  <c r="C452" i="10" l="1"/>
  <c r="G452" i="10" s="1"/>
  <c r="I451" i="10"/>
  <c r="F452" i="10" l="1"/>
  <c r="H452" i="10" l="1"/>
  <c r="C453" i="10" l="1"/>
  <c r="G453" i="10" s="1"/>
  <c r="I452" i="10"/>
  <c r="F453" i="10" l="1"/>
  <c r="H453" i="10" l="1"/>
  <c r="I453" i="10" l="1"/>
  <c r="C454" i="10"/>
  <c r="G454" i="10" s="1"/>
  <c r="F454" i="10" l="1"/>
  <c r="H454" i="10" l="1"/>
  <c r="I454" i="10" l="1"/>
  <c r="C455" i="10"/>
  <c r="G455" i="10" s="1"/>
  <c r="F455" i="10" l="1"/>
  <c r="H455" i="10" l="1"/>
  <c r="C456" i="10" l="1"/>
  <c r="G456" i="10" s="1"/>
  <c r="I455" i="10"/>
  <c r="F456" i="10" l="1"/>
  <c r="H456" i="10" l="1"/>
  <c r="I456" i="10" l="1"/>
  <c r="C457" i="10"/>
  <c r="G457" i="10" s="1"/>
  <c r="F457" i="10" l="1"/>
  <c r="H457" i="10" l="1"/>
  <c r="C458" i="10" l="1"/>
  <c r="G458" i="10" s="1"/>
  <c r="I457" i="10"/>
  <c r="F458" i="10" l="1"/>
  <c r="H458" i="10" l="1"/>
  <c r="I458" i="10" l="1"/>
  <c r="C459" i="10"/>
  <c r="G459" i="10" s="1"/>
  <c r="F459" i="10" l="1"/>
  <c r="H459" i="10" l="1"/>
  <c r="I459" i="10" l="1"/>
  <c r="C460" i="10"/>
  <c r="G460" i="10" s="1"/>
  <c r="F460" i="10" l="1"/>
  <c r="H460" i="10" l="1"/>
  <c r="E461" i="10" s="1"/>
  <c r="I460" i="10" l="1"/>
  <c r="C461" i="10"/>
  <c r="G461" i="10" l="1"/>
  <c r="F461" i="10" s="1"/>
  <c r="N53" i="10"/>
  <c r="H461" i="10" l="1"/>
  <c r="O53" i="10"/>
  <c r="M53" i="10" l="1"/>
  <c r="P53" i="10" s="1"/>
  <c r="D461" i="10"/>
  <c r="C462" i="10"/>
  <c r="E462" i="10" l="1"/>
  <c r="G462" i="10" s="1"/>
  <c r="I461" i="10"/>
  <c r="F462" i="10" l="1"/>
  <c r="H462" i="10" s="1"/>
  <c r="I462" i="10" l="1"/>
  <c r="C463" i="10"/>
  <c r="G463" i="10" s="1"/>
  <c r="F463" i="10" l="1"/>
  <c r="H463" i="10" l="1"/>
  <c r="I463" i="10" l="1"/>
  <c r="C464" i="10"/>
  <c r="G464" i="10" s="1"/>
  <c r="F464" i="10" l="1"/>
  <c r="H464" i="10" l="1"/>
  <c r="I464" i="10" l="1"/>
  <c r="C465" i="10"/>
  <c r="G465" i="10" s="1"/>
  <c r="F465" i="10" l="1"/>
  <c r="H465" i="10" l="1"/>
  <c r="C466" i="10" l="1"/>
  <c r="G466" i="10" s="1"/>
  <c r="I465" i="10"/>
  <c r="F466" i="10" l="1"/>
  <c r="H466" i="10" l="1"/>
  <c r="I466" i="10" l="1"/>
  <c r="C467" i="10"/>
  <c r="G467" i="10" s="1"/>
  <c r="F467" i="10" l="1"/>
  <c r="H467" i="10" l="1"/>
  <c r="I467" i="10" l="1"/>
  <c r="C468" i="10"/>
  <c r="G468" i="10" s="1"/>
  <c r="F468" i="10" l="1"/>
  <c r="H468" i="10" l="1"/>
  <c r="C469" i="10" l="1"/>
  <c r="G469" i="10" s="1"/>
  <c r="I468" i="10"/>
  <c r="F469" i="10" l="1"/>
  <c r="H469" i="10" l="1"/>
  <c r="C470" i="10" l="1"/>
  <c r="G470" i="10" s="1"/>
  <c r="I469" i="10"/>
  <c r="F470" i="10" l="1"/>
  <c r="H470" i="10" l="1"/>
  <c r="I470" i="10" l="1"/>
  <c r="C471" i="10"/>
  <c r="G471" i="10" s="1"/>
  <c r="F471" i="10" l="1"/>
  <c r="H471" i="10" l="1"/>
  <c r="I471" i="10" l="1"/>
  <c r="C472" i="10"/>
  <c r="G472" i="10" s="1"/>
  <c r="F472" i="10" l="1"/>
  <c r="H472" i="10" l="1"/>
  <c r="E473" i="10" s="1"/>
  <c r="I472" i="10" l="1"/>
  <c r="C473" i="10"/>
  <c r="G473" i="10" l="1"/>
  <c r="F473" i="10" s="1"/>
  <c r="N54" i="10"/>
  <c r="H473" i="10" l="1"/>
  <c r="O54" i="10"/>
  <c r="D473" i="10" l="1"/>
  <c r="C474" i="10"/>
  <c r="M54" i="10"/>
  <c r="P54" i="10" s="1"/>
  <c r="E474" i="10" l="1"/>
  <c r="G474" i="10" s="1"/>
  <c r="I473" i="10"/>
  <c r="F474" i="10" l="1"/>
  <c r="H474" i="10" l="1"/>
  <c r="I474" i="10" l="1"/>
  <c r="C475" i="10"/>
  <c r="G475" i="10" s="1"/>
  <c r="F475" i="10" l="1"/>
  <c r="H475" i="10" l="1"/>
  <c r="I475" i="10" l="1"/>
  <c r="C476" i="10"/>
  <c r="G476" i="10" s="1"/>
  <c r="F476" i="10" l="1"/>
  <c r="H476" i="10" l="1"/>
  <c r="C477" i="10" l="1"/>
  <c r="G477" i="10" s="1"/>
  <c r="I476" i="10"/>
  <c r="F477" i="10" l="1"/>
  <c r="H477" i="10" l="1"/>
  <c r="I477" i="10" l="1"/>
  <c r="C478" i="10"/>
  <c r="G478" i="10" s="1"/>
  <c r="F478" i="10" l="1"/>
  <c r="H478" i="10" l="1"/>
  <c r="I478" i="10" l="1"/>
  <c r="C479" i="10"/>
  <c r="G479" i="10" s="1"/>
  <c r="F479" i="10" l="1"/>
  <c r="H479" i="10" l="1"/>
  <c r="C480" i="10" l="1"/>
  <c r="G480" i="10" s="1"/>
  <c r="I479" i="10"/>
  <c r="F480" i="10" l="1"/>
  <c r="H480" i="10" l="1"/>
  <c r="C481" i="10" l="1"/>
  <c r="G481" i="10" s="1"/>
  <c r="I480" i="10"/>
  <c r="F481" i="10" l="1"/>
  <c r="H481" i="10" l="1"/>
  <c r="C482" i="10" l="1"/>
  <c r="G482" i="10" s="1"/>
  <c r="I481" i="10"/>
  <c r="F482" i="10" l="1"/>
  <c r="H482" i="10" l="1"/>
  <c r="I482" i="10" l="1"/>
  <c r="C483" i="10"/>
  <c r="G483" i="10" s="1"/>
  <c r="F483" i="10" l="1"/>
  <c r="H483" i="10" l="1"/>
  <c r="I483" i="10" l="1"/>
  <c r="C484" i="10"/>
  <c r="G484" i="10" s="1"/>
  <c r="F484" i="10" l="1"/>
  <c r="H484" i="10" l="1"/>
  <c r="E485" i="10" s="1"/>
  <c r="I484" i="10" l="1"/>
  <c r="C485" i="10"/>
  <c r="G485" i="10" l="1"/>
  <c r="F485" i="10" s="1"/>
  <c r="N55" i="10"/>
  <c r="H485" i="10" l="1"/>
  <c r="O55" i="10"/>
  <c r="C486" i="10" l="1"/>
  <c r="D485" i="10"/>
  <c r="M55" i="10"/>
  <c r="P55" i="10" s="1"/>
  <c r="E486" i="10" l="1"/>
  <c r="G486" i="10" s="1"/>
  <c r="I485" i="10"/>
  <c r="F486" i="10" l="1"/>
  <c r="H486" i="10" l="1"/>
  <c r="I486" i="10" l="1"/>
  <c r="C487" i="10"/>
  <c r="G487" i="10" s="1"/>
  <c r="F487" i="10" l="1"/>
  <c r="H487" i="10" l="1"/>
  <c r="C488" i="10" l="1"/>
  <c r="G488" i="10" s="1"/>
  <c r="I487" i="10"/>
  <c r="F488" i="10" l="1"/>
  <c r="H488" i="10" l="1"/>
  <c r="I488" i="10" l="1"/>
  <c r="C489" i="10"/>
  <c r="G489" i="10" s="1"/>
  <c r="F489" i="10" l="1"/>
  <c r="H489" i="10" l="1"/>
  <c r="C490" i="10" l="1"/>
  <c r="G490" i="10" s="1"/>
  <c r="I489" i="10"/>
  <c r="F490" i="10" l="1"/>
  <c r="H490" i="10" l="1"/>
  <c r="I490" i="10" l="1"/>
  <c r="C491" i="10"/>
  <c r="G491" i="10" s="1"/>
  <c r="F491" i="10" l="1"/>
  <c r="H491" i="10" l="1"/>
  <c r="I491" i="10" l="1"/>
  <c r="C492" i="10"/>
  <c r="G492" i="10" s="1"/>
  <c r="F492" i="10" l="1"/>
  <c r="H492" i="10" l="1"/>
  <c r="I492" i="10" l="1"/>
  <c r="C493" i="10"/>
  <c r="G493" i="10" s="1"/>
  <c r="F493" i="10" l="1"/>
  <c r="H493" i="10" l="1"/>
  <c r="C494" i="10" l="1"/>
  <c r="G494" i="10" s="1"/>
  <c r="I493" i="10"/>
  <c r="F494" i="10" l="1"/>
  <c r="H494" i="10" l="1"/>
  <c r="I494" i="10" l="1"/>
  <c r="C495" i="10"/>
  <c r="G495" i="10" s="1"/>
  <c r="F495" i="10" l="1"/>
  <c r="H495" i="10" l="1"/>
  <c r="I495" i="10" l="1"/>
  <c r="C496" i="10"/>
  <c r="G496" i="10" s="1"/>
  <c r="F496" i="10" l="1"/>
  <c r="H496" i="10" l="1"/>
  <c r="E497" i="10" s="1"/>
  <c r="I496" i="10" l="1"/>
  <c r="C497" i="10"/>
  <c r="G497" i="10" l="1"/>
  <c r="F497" i="10" s="1"/>
  <c r="N56" i="10"/>
  <c r="H497" i="10" l="1"/>
  <c r="D497" i="10" s="1"/>
  <c r="I497" i="10" s="1"/>
  <c r="H498" i="10" s="1" a="1"/>
  <c r="H498" i="10" s="1"/>
  <c r="O56" i="10"/>
  <c r="M56" i="10" l="1"/>
  <c r="P56" i="10" l="1"/>
  <c r="M15" i="10"/>
  <c r="D11" i="10" s="1"/>
  <c r="U21" i="27"/>
  <c r="S21" i="27"/>
  <c r="U37" i="27"/>
  <c r="S37" i="27"/>
  <c r="U35" i="27"/>
  <c r="S35" i="27"/>
  <c r="U32" i="27"/>
  <c r="S32" i="27"/>
  <c r="S19" i="27"/>
  <c r="U19" i="27"/>
  <c r="U43" i="27"/>
  <c r="S43" i="27"/>
  <c r="S22" i="27"/>
  <c r="U22" i="27"/>
  <c r="U25" i="27"/>
  <c r="S25" i="27"/>
  <c r="S30" i="27"/>
  <c r="U30" i="27"/>
  <c r="U38" i="27"/>
  <c r="S38" i="27"/>
  <c r="U41" i="27"/>
  <c r="S41" i="27"/>
  <c r="S54" i="27"/>
  <c r="U54" i="27"/>
  <c r="U46" i="27"/>
  <c r="S46" i="27"/>
  <c r="U27" i="27"/>
  <c r="S27" i="27"/>
  <c r="U29" i="27"/>
  <c r="S29" i="27"/>
  <c r="U33" i="27"/>
  <c r="S33" i="27"/>
  <c r="U20" i="27"/>
  <c r="S20" i="27"/>
  <c r="U28" i="27"/>
  <c r="S28" i="27"/>
  <c r="R32" i="27"/>
  <c r="T32" i="27" s="1"/>
  <c r="U36" i="27"/>
  <c r="S36" i="27"/>
  <c r="U44" i="27"/>
  <c r="R44" i="27"/>
  <c r="V44" i="27" s="1"/>
  <c r="S44" i="27"/>
  <c r="U52" i="27"/>
  <c r="R52" i="27"/>
  <c r="V52" i="27" s="1"/>
  <c r="S52" i="27"/>
  <c r="R22" i="27"/>
  <c r="V22" i="27" s="1"/>
  <c r="R38" i="27"/>
  <c r="V38" i="27" s="1"/>
  <c r="S18" i="27"/>
  <c r="U18" i="27"/>
  <c r="R29" i="27"/>
  <c r="V29" i="27" s="1"/>
  <c r="U49" i="27"/>
  <c r="S49" i="27"/>
  <c r="R37" i="27"/>
  <c r="V37" i="27" s="1"/>
  <c r="R33" i="27"/>
  <c r="T33" i="27" s="1"/>
  <c r="U31" i="27"/>
  <c r="S31" i="27"/>
  <c r="R41" i="27"/>
  <c r="T41" i="27" s="1"/>
  <c r="S47" i="27"/>
  <c r="U47" i="27"/>
  <c r="S55" i="27"/>
  <c r="R55" i="27"/>
  <c r="V55" i="27" s="1"/>
  <c r="U55" i="27"/>
  <c r="U56" i="27"/>
  <c r="R56" i="27"/>
  <c r="T56" i="27" s="1"/>
  <c r="S56" i="27"/>
  <c r="U48" i="27"/>
  <c r="R48" i="27"/>
  <c r="V48" i="27" s="1"/>
  <c r="S48" i="27"/>
  <c r="U40" i="27"/>
  <c r="R40" i="27"/>
  <c r="V40" i="27" s="1"/>
  <c r="S40" i="27"/>
  <c r="U24" i="27"/>
  <c r="R24" i="27"/>
  <c r="V24" i="27" s="1"/>
  <c r="S24" i="27"/>
  <c r="R18" i="27"/>
  <c r="V18" i="27" s="1"/>
  <c r="S51" i="27"/>
  <c r="R51" i="27"/>
  <c r="V51" i="27" s="1"/>
  <c r="U51" i="27"/>
  <c r="R47" i="27"/>
  <c r="V47" i="27" s="1"/>
  <c r="R49" i="27"/>
  <c r="V49" i="27" s="1"/>
  <c r="S17" i="27"/>
  <c r="R17" i="27"/>
  <c r="V17" i="27" s="1"/>
  <c r="U17" i="27"/>
  <c r="R25" i="27"/>
  <c r="V25" i="27" s="1"/>
  <c r="R43" i="27"/>
  <c r="V43" i="27" s="1"/>
  <c r="R21" i="27"/>
  <c r="T21" i="27" s="1"/>
  <c r="R20" i="27"/>
  <c r="T20" i="27" s="1"/>
  <c r="S23" i="27"/>
  <c r="U23" i="27"/>
  <c r="S26" i="27"/>
  <c r="R26" i="27"/>
  <c r="V26" i="27" s="1"/>
  <c r="U26" i="27"/>
  <c r="R28" i="27"/>
  <c r="T28" i="27" s="1"/>
  <c r="R30" i="27"/>
  <c r="T30" i="27" s="1"/>
  <c r="U34" i="27"/>
  <c r="R34" i="27"/>
  <c r="V34" i="27" s="1"/>
  <c r="S34" i="27"/>
  <c r="R36" i="27"/>
  <c r="V36" i="27" s="1"/>
  <c r="U39" i="27"/>
  <c r="S39" i="27"/>
  <c r="U42" i="27"/>
  <c r="R42" i="27"/>
  <c r="T42" i="27" s="1"/>
  <c r="S42" i="27"/>
  <c r="S45" i="27"/>
  <c r="R45" i="27"/>
  <c r="V45" i="27" s="1"/>
  <c r="U45" i="27"/>
  <c r="R46" i="27"/>
  <c r="V46" i="27" s="1"/>
  <c r="S50" i="27"/>
  <c r="R50" i="27"/>
  <c r="T50" i="27" s="1"/>
  <c r="U50" i="27"/>
  <c r="S53" i="27"/>
  <c r="R53" i="27"/>
  <c r="T53" i="27" s="1"/>
  <c r="U53" i="27"/>
  <c r="R54" i="27"/>
  <c r="V54" i="27" s="1"/>
  <c r="R19" i="27"/>
  <c r="V19" i="27" s="1"/>
  <c r="R23" i="27"/>
  <c r="T23" i="27" s="1"/>
  <c r="R27" i="27"/>
  <c r="V27" i="27" s="1"/>
  <c r="R31" i="27"/>
  <c r="V31" i="27" s="1"/>
  <c r="R35" i="27"/>
  <c r="V35" i="27" s="1"/>
  <c r="R39" i="27"/>
  <c r="V39" i="27" s="1"/>
  <c r="T31" i="27" l="1"/>
  <c r="T51" i="27"/>
  <c r="T47" i="27"/>
  <c r="T38" i="27"/>
  <c r="T39" i="27"/>
  <c r="T24" i="27"/>
  <c r="T29" i="27"/>
  <c r="T52" i="27"/>
  <c r="T35" i="27"/>
  <c r="T49" i="27"/>
  <c r="T18" i="27"/>
  <c r="T27" i="27"/>
  <c r="V21" i="27"/>
  <c r="V30" i="27"/>
  <c r="V53" i="27"/>
  <c r="T48" i="27"/>
  <c r="T37" i="27"/>
  <c r="V33" i="27"/>
  <c r="T45" i="27"/>
  <c r="V28" i="27"/>
  <c r="T17" i="27"/>
  <c r="T55" i="27"/>
  <c r="T34" i="27"/>
  <c r="T26" i="27"/>
  <c r="T43" i="27"/>
  <c r="T25" i="27"/>
  <c r="V41" i="27"/>
  <c r="V56" i="27"/>
  <c r="V32" i="27"/>
  <c r="T46" i="27"/>
  <c r="T54" i="27"/>
  <c r="T36" i="27"/>
  <c r="V42" i="27"/>
  <c r="T19" i="27"/>
  <c r="V20" i="27"/>
  <c r="T40" i="27"/>
  <c r="T22" i="27"/>
  <c r="T44" i="27"/>
  <c r="V23" i="27"/>
  <c r="V50" i="27"/>
  <c r="N17" i="27"/>
  <c r="P17" i="27" l="1"/>
  <c r="O17" i="27"/>
  <c r="M17" i="27" l="1"/>
  <c r="D8" i="3"/>
  <c r="D9" i="3" l="1"/>
  <c r="D23" i="3" l="1"/>
  <c r="N5" i="12" s="1"/>
  <c r="B29" i="28" l="1"/>
  <c r="B34" i="28"/>
  <c r="C45" i="28"/>
  <c r="B48" i="28"/>
  <c r="B37" i="28"/>
  <c r="C48" i="28"/>
  <c r="C37" i="28"/>
  <c r="B40" i="28"/>
  <c r="C34" i="28"/>
  <c r="C40" i="28"/>
  <c r="B43" i="28"/>
  <c r="C43" i="28"/>
  <c r="B46" i="28"/>
  <c r="B35" i="28"/>
  <c r="C46" i="28"/>
  <c r="C35" i="28"/>
  <c r="B38" i="28"/>
  <c r="C38" i="28"/>
  <c r="B41" i="28"/>
  <c r="C41" i="28"/>
  <c r="B44" i="28"/>
  <c r="C44" i="28"/>
  <c r="B47" i="28"/>
  <c r="C39" i="28"/>
  <c r="B45" i="28"/>
  <c r="B36" i="28"/>
  <c r="C47" i="28"/>
  <c r="C36" i="28"/>
  <c r="B39" i="28"/>
  <c r="B42" i="28"/>
  <c r="C42" i="28"/>
  <c r="C29" i="28"/>
  <c r="C13" i="28"/>
  <c r="C31" i="28"/>
  <c r="B17" i="28"/>
  <c r="C11" i="28"/>
  <c r="C15" i="28"/>
  <c r="B9" i="28"/>
  <c r="B26" i="28"/>
  <c r="C16" i="28"/>
  <c r="B27" i="28"/>
  <c r="B28" i="28"/>
  <c r="C22" i="28"/>
  <c r="B16" i="28"/>
  <c r="B20" i="28"/>
  <c r="B21" i="28"/>
  <c r="B22" i="28"/>
  <c r="B10" i="28"/>
  <c r="B12" i="28"/>
  <c r="B33" i="28"/>
  <c r="C27" i="28"/>
  <c r="C19" i="28"/>
  <c r="B19" i="28"/>
  <c r="C32" i="28"/>
  <c r="B25" i="28"/>
  <c r="B23" i="28"/>
  <c r="B24" i="28"/>
  <c r="C17" i="28"/>
  <c r="B15" i="28"/>
  <c r="C12" i="28"/>
  <c r="B18" i="28"/>
  <c r="C20" i="28"/>
  <c r="B13" i="28"/>
  <c r="C26" i="28"/>
  <c r="C25" i="28"/>
  <c r="B11" i="28"/>
  <c r="B14" i="28"/>
  <c r="C21" i="28"/>
  <c r="C28" i="28"/>
  <c r="B31" i="28"/>
  <c r="C9" i="28"/>
  <c r="C30" i="28"/>
  <c r="B32" i="28"/>
  <c r="C18" i="28"/>
  <c r="C33" i="28"/>
  <c r="C23" i="28"/>
  <c r="C24" i="28"/>
  <c r="C14" i="28"/>
  <c r="C10" i="28"/>
  <c r="B30" i="28"/>
  <c r="B34" i="23"/>
  <c r="B48" i="23"/>
  <c r="B39" i="23"/>
  <c r="B40" i="23"/>
  <c r="B37" i="23"/>
  <c r="B43" i="23"/>
  <c r="B44" i="23"/>
  <c r="B45" i="23"/>
  <c r="B41" i="23"/>
  <c r="B38" i="23"/>
  <c r="B35" i="23"/>
  <c r="B46" i="23"/>
  <c r="B42" i="23"/>
  <c r="B47" i="23"/>
  <c r="B36" i="23"/>
  <c r="B23" i="23"/>
  <c r="B13" i="23"/>
  <c r="B26" i="23"/>
  <c r="B12" i="23"/>
  <c r="B19" i="23"/>
  <c r="B28" i="23"/>
  <c r="B15" i="23"/>
  <c r="B33" i="23"/>
  <c r="B30" i="23"/>
  <c r="B14" i="23"/>
  <c r="B32" i="23"/>
  <c r="B24" i="23"/>
  <c r="B11" i="23"/>
  <c r="B27" i="23"/>
  <c r="B17" i="23"/>
  <c r="B16" i="23"/>
  <c r="B10" i="23"/>
  <c r="B25" i="23"/>
  <c r="B20" i="23"/>
  <c r="B18" i="23"/>
  <c r="B29" i="23"/>
  <c r="B9" i="23"/>
  <c r="B22" i="23"/>
  <c r="B21" i="23"/>
  <c r="B31" i="23"/>
  <c r="D13" i="28" l="1"/>
  <c r="B49" i="28"/>
  <c r="C49" i="28"/>
  <c r="C52" i="28" s="1"/>
  <c r="B49" i="23"/>
  <c r="D11" i="28" l="1"/>
  <c r="D12" i="28" l="1"/>
  <c r="D14" i="28" l="1"/>
  <c r="D15" i="28" l="1"/>
  <c r="D17" i="28" l="1"/>
  <c r="D18" i="28" l="1"/>
  <c r="D19" i="28" l="1"/>
  <c r="D20" i="28" l="1"/>
  <c r="D22" i="28" l="1"/>
  <c r="D24" i="28" l="1"/>
  <c r="D26" i="28" l="1"/>
  <c r="D27" i="28" l="1"/>
  <c r="D28" i="28" l="1"/>
  <c r="D29" i="28" l="1"/>
  <c r="D30" i="28" l="1"/>
  <c r="D48" i="28" l="1"/>
  <c r="D10" i="28" l="1"/>
  <c r="D46" i="28" l="1"/>
  <c r="D45" i="28" l="1"/>
  <c r="D43" i="28" l="1"/>
  <c r="D42" i="28" l="1"/>
  <c r="D41" i="28" l="1"/>
  <c r="D40" i="28" l="1"/>
  <c r="D38" i="28" l="1"/>
  <c r="D37" i="28" l="1"/>
  <c r="D34" i="28" l="1"/>
  <c r="D31" i="28" l="1"/>
  <c r="D32" i="28" l="1"/>
  <c r="D9" i="28" l="1"/>
  <c r="D29" i="27" l="1"/>
  <c r="E30" i="27"/>
  <c r="G30" i="27" s="1"/>
  <c r="F30" i="27" l="1"/>
  <c r="H30" i="27" s="1"/>
  <c r="D29" i="25"/>
  <c r="E30" i="25"/>
  <c r="G30" i="25" l="1"/>
  <c r="F30" i="25" s="1"/>
  <c r="H30" i="25" s="1"/>
  <c r="C31" i="25" s="1"/>
  <c r="G31" i="25" s="1"/>
  <c r="F31" i="25" s="1"/>
  <c r="H31" i="25" s="1"/>
  <c r="E32" i="25" s="1"/>
  <c r="E31" i="27"/>
  <c r="C31" i="27"/>
  <c r="C32" i="25" l="1"/>
  <c r="G32" i="25" s="1"/>
  <c r="F32" i="25" s="1"/>
  <c r="H32" i="25" s="1"/>
  <c r="G31" i="27"/>
  <c r="F31" i="27" s="1"/>
  <c r="H31" i="27" l="1"/>
  <c r="E33" i="25"/>
  <c r="C33" i="25"/>
  <c r="G33" i="25" l="1"/>
  <c r="F33" i="25" s="1"/>
  <c r="H33" i="25" s="1"/>
  <c r="E32" i="27"/>
  <c r="C32" i="27"/>
  <c r="C34" i="25" l="1"/>
  <c r="G34" i="25" s="1"/>
  <c r="F34" i="25" s="1"/>
  <c r="H34" i="25" s="1"/>
  <c r="E35" i="25" s="1"/>
  <c r="G32" i="27"/>
  <c r="F32" i="27" s="1"/>
  <c r="H32" i="27" s="1"/>
  <c r="E33" i="27" l="1"/>
  <c r="C33" i="27"/>
  <c r="C35" i="25"/>
  <c r="G35" i="25" s="1"/>
  <c r="F35" i="25" s="1"/>
  <c r="H35" i="25" s="1"/>
  <c r="C36" i="25" l="1"/>
  <c r="E36" i="25"/>
  <c r="G33" i="27"/>
  <c r="F33" i="27" s="1"/>
  <c r="H33" i="27" s="1"/>
  <c r="E34" i="27" l="1"/>
  <c r="C34" i="27"/>
  <c r="G36" i="25"/>
  <c r="F36" i="25" s="1"/>
  <c r="H36" i="25" s="1"/>
  <c r="C37" i="25" l="1"/>
  <c r="G37" i="25" s="1"/>
  <c r="F37" i="25" s="1"/>
  <c r="H37" i="25" s="1"/>
  <c r="E38" i="25" s="1"/>
  <c r="G34" i="27"/>
  <c r="F34" i="27" s="1"/>
  <c r="H34" i="27" s="1"/>
  <c r="C38" i="25" l="1"/>
  <c r="G38" i="25" s="1"/>
  <c r="F38" i="25" s="1"/>
  <c r="H38" i="25" s="1"/>
  <c r="C35" i="27"/>
  <c r="E35" i="27"/>
  <c r="G35" i="27" l="1"/>
  <c r="F35" i="27" s="1"/>
  <c r="E39" i="25"/>
  <c r="C39" i="25"/>
  <c r="H35" i="27" l="1"/>
  <c r="G39" i="25"/>
  <c r="F39" i="25" s="1"/>
  <c r="H39" i="25" s="1"/>
  <c r="C40" i="25" l="1"/>
  <c r="G40" i="25" s="1"/>
  <c r="F40" i="25" s="1"/>
  <c r="H40" i="25" s="1"/>
  <c r="E41" i="25" s="1"/>
  <c r="C36" i="27"/>
  <c r="E36" i="27"/>
  <c r="C41" i="25" l="1"/>
  <c r="G41" i="25" s="1"/>
  <c r="F41" i="25" s="1"/>
  <c r="H41" i="25" s="1"/>
  <c r="G36" i="27"/>
  <c r="F36" i="27" s="1"/>
  <c r="H36" i="27" l="1"/>
  <c r="C42" i="25"/>
  <c r="D41" i="25"/>
  <c r="E42" i="25" l="1"/>
  <c r="E37" i="27"/>
  <c r="C37" i="27"/>
  <c r="G37" i="27" l="1"/>
  <c r="F37" i="27" s="1"/>
  <c r="G42" i="25"/>
  <c r="F42" i="25" s="1"/>
  <c r="H42" i="25" s="1"/>
  <c r="C43" i="25" l="1"/>
  <c r="G43" i="25" s="1"/>
  <c r="F43" i="25" s="1"/>
  <c r="H43" i="25" s="1"/>
  <c r="E44" i="25" s="1"/>
  <c r="H37" i="27"/>
  <c r="E38" i="27" l="1"/>
  <c r="C38" i="27"/>
  <c r="C44" i="25"/>
  <c r="G44" i="25" s="1"/>
  <c r="F44" i="25" s="1"/>
  <c r="H44" i="25" s="1"/>
  <c r="C45" i="25" l="1"/>
  <c r="E45" i="25"/>
  <c r="G38" i="27"/>
  <c r="F38" i="27" s="1"/>
  <c r="H38" i="27" s="1"/>
  <c r="G45" i="25" l="1"/>
  <c r="F45" i="25" s="1"/>
  <c r="H45" i="25" s="1"/>
  <c r="E39" i="27"/>
  <c r="C39" i="27"/>
  <c r="C46" i="25" l="1"/>
  <c r="G46" i="25" s="1"/>
  <c r="F46" i="25" s="1"/>
  <c r="H46" i="25" s="1"/>
  <c r="E47" i="25" s="1"/>
  <c r="G39" i="27"/>
  <c r="F39" i="27" s="1"/>
  <c r="H39" i="27" s="1"/>
  <c r="C47" i="25" l="1"/>
  <c r="G47" i="25" s="1"/>
  <c r="F47" i="25" s="1"/>
  <c r="H47" i="25" s="1"/>
  <c r="E40" i="27"/>
  <c r="C40" i="27"/>
  <c r="C48" i="25" l="1"/>
  <c r="E48" i="25"/>
  <c r="G40" i="27"/>
  <c r="F40" i="27" s="1"/>
  <c r="H40" i="27" s="1"/>
  <c r="E41" i="27" s="1"/>
  <c r="C41" i="27" l="1"/>
  <c r="G41" i="27" s="1"/>
  <c r="F41" i="27" s="1"/>
  <c r="H41" i="27" s="1"/>
  <c r="G48" i="25"/>
  <c r="F48" i="25" s="1"/>
  <c r="H48" i="25" s="1"/>
  <c r="N18" i="27"/>
  <c r="C49" i="25" l="1"/>
  <c r="G49" i="25" s="1"/>
  <c r="F49" i="25" s="1"/>
  <c r="H49" i="25" s="1"/>
  <c r="E50" i="25" s="1"/>
  <c r="D41" i="27"/>
  <c r="C42" i="27"/>
  <c r="O18" i="27"/>
  <c r="M18" i="27" l="1"/>
  <c r="C50" i="25"/>
  <c r="G50" i="25" s="1"/>
  <c r="F50" i="25" s="1"/>
  <c r="H50" i="25" s="1"/>
  <c r="E42" i="27"/>
  <c r="N18" i="25"/>
  <c r="C51" i="25" l="1"/>
  <c r="E51" i="25"/>
  <c r="G42" i="27"/>
  <c r="F42" i="27" s="1"/>
  <c r="O18" i="25"/>
  <c r="M18" i="25" l="1"/>
  <c r="H42" i="27"/>
  <c r="G51" i="25"/>
  <c r="F51" i="25" s="1"/>
  <c r="H51" i="25" l="1"/>
  <c r="C43" i="27"/>
  <c r="E43" i="27"/>
  <c r="G43" i="27" l="1"/>
  <c r="F43" i="27" s="1"/>
  <c r="C52" i="25"/>
  <c r="G52" i="25" s="1"/>
  <c r="F52" i="25" s="1"/>
  <c r="H52" i="25" s="1"/>
  <c r="E53" i="25" s="1"/>
  <c r="C53" i="25" l="1"/>
  <c r="G53" i="25" s="1"/>
  <c r="F53" i="25" s="1"/>
  <c r="H43" i="27"/>
  <c r="N19" i="25"/>
  <c r="C44" i="27" l="1"/>
  <c r="E44" i="27"/>
  <c r="H53" i="25"/>
  <c r="O19" i="25"/>
  <c r="M19" i="25" l="1"/>
  <c r="D53" i="25"/>
  <c r="C54" i="25"/>
  <c r="G44" i="27"/>
  <c r="F44" i="27" s="1"/>
  <c r="H44" i="27" l="1"/>
  <c r="E54" i="25"/>
  <c r="G54" i="25" l="1"/>
  <c r="F54" i="25" s="1"/>
  <c r="C45" i="27"/>
  <c r="E45" i="27"/>
  <c r="H54" i="25" l="1"/>
  <c r="G45" i="27"/>
  <c r="F45" i="27" s="1"/>
  <c r="H45" i="27" l="1"/>
  <c r="C55" i="25"/>
  <c r="G55" i="25" s="1"/>
  <c r="F55" i="25" s="1"/>
  <c r="H55" i="25" s="1"/>
  <c r="E56" i="25" s="1"/>
  <c r="C56" i="25" l="1"/>
  <c r="G56" i="25" s="1"/>
  <c r="F56" i="25" s="1"/>
  <c r="C46" i="27"/>
  <c r="E46" i="27"/>
  <c r="G46" i="27" l="1"/>
  <c r="F46" i="27" s="1"/>
  <c r="H56" i="25"/>
  <c r="H46" i="27" l="1"/>
  <c r="C57" i="25"/>
  <c r="E57" i="25"/>
  <c r="G57" i="25" l="1"/>
  <c r="F57" i="25" s="1"/>
  <c r="C47" i="27"/>
  <c r="E47" i="27"/>
  <c r="G47" i="27" l="1"/>
  <c r="F47" i="27" s="1"/>
  <c r="H57" i="25"/>
  <c r="H47" i="27" l="1"/>
  <c r="C58" i="25"/>
  <c r="G58" i="25" s="1"/>
  <c r="F58" i="25" s="1"/>
  <c r="H58" i="25" s="1"/>
  <c r="E59" i="25" s="1"/>
  <c r="C59" i="25" l="1"/>
  <c r="G59" i="25" s="1"/>
  <c r="F59" i="25" s="1"/>
  <c r="H59" i="25" s="1"/>
  <c r="C48" i="27"/>
  <c r="E48" i="27"/>
  <c r="C60" i="25" l="1"/>
  <c r="E60" i="25"/>
  <c r="G48" i="27"/>
  <c r="F48" i="27" s="1"/>
  <c r="H48" i="27" l="1"/>
  <c r="G60" i="25"/>
  <c r="F60" i="25" s="1"/>
  <c r="H60" i="25" l="1"/>
  <c r="C49" i="27"/>
  <c r="E49" i="27"/>
  <c r="G49" i="27" l="1"/>
  <c r="F49" i="27" s="1"/>
  <c r="C61" i="25"/>
  <c r="G61" i="25" s="1"/>
  <c r="F61" i="25" s="1"/>
  <c r="H49" i="27" l="1"/>
  <c r="H61" i="25"/>
  <c r="E62" i="25" s="1"/>
  <c r="C62" i="25" l="1"/>
  <c r="G62" i="25" s="1"/>
  <c r="F62" i="25" s="1"/>
  <c r="C50" i="27"/>
  <c r="E50" i="27"/>
  <c r="G50" i="27" l="1"/>
  <c r="F50" i="27" s="1"/>
  <c r="H62" i="25"/>
  <c r="C63" i="25" l="1"/>
  <c r="E63" i="25"/>
  <c r="H50" i="27"/>
  <c r="C51" i="27" l="1"/>
  <c r="E51" i="27"/>
  <c r="G63" i="25"/>
  <c r="F63" i="25" s="1"/>
  <c r="H63" i="25" l="1"/>
  <c r="G51" i="27"/>
  <c r="F51" i="27" s="1"/>
  <c r="H51" i="27" s="1"/>
  <c r="C52" i="27" l="1"/>
  <c r="E52" i="27"/>
  <c r="C64" i="25"/>
  <c r="G64" i="25" s="1"/>
  <c r="F64" i="25" s="1"/>
  <c r="H64" i="25" l="1"/>
  <c r="E65" i="25" s="1"/>
  <c r="G52" i="27"/>
  <c r="F52" i="27" s="1"/>
  <c r="H52" i="27" l="1"/>
  <c r="E53" i="27" s="1"/>
  <c r="C65" i="25"/>
  <c r="G65" i="25" s="1"/>
  <c r="F65" i="25" s="1"/>
  <c r="H65" i="25" s="1"/>
  <c r="N20" i="25"/>
  <c r="C66" i="25" l="1"/>
  <c r="D65" i="25"/>
  <c r="C53" i="27"/>
  <c r="G53" i="27" s="1"/>
  <c r="F53" i="27" s="1"/>
  <c r="H53" i="27" s="1"/>
  <c r="N19" i="27"/>
  <c r="O20" i="25"/>
  <c r="M20" i="25" l="1"/>
  <c r="D53" i="27"/>
  <c r="C54" i="27"/>
  <c r="E66" i="25"/>
  <c r="O19" i="27"/>
  <c r="M19" i="27" l="1"/>
  <c r="E54" i="27"/>
  <c r="G66" i="25"/>
  <c r="F66" i="25" s="1"/>
  <c r="H66" i="25" l="1"/>
  <c r="G54" i="27"/>
  <c r="F54" i="27" s="1"/>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D16" i="28"/>
  <c r="D21" i="28"/>
  <c r="D23" i="28"/>
  <c r="D25" i="28"/>
  <c r="D33" i="28"/>
  <c r="D29" i="26"/>
  <c r="D49" i="28" l="1"/>
  <c r="D52" i="28" s="1"/>
  <c r="E30" i="26"/>
  <c r="H54" i="27"/>
  <c r="C67" i="25"/>
  <c r="G67" i="25" s="1"/>
  <c r="F67" i="25" s="1"/>
  <c r="H67" i="25" s="1"/>
  <c r="E68" i="25" s="1"/>
  <c r="C68" i="25" l="1"/>
  <c r="G68" i="25" s="1"/>
  <c r="F68" i="25" s="1"/>
  <c r="H68" i="25" s="1"/>
  <c r="I67" i="25"/>
  <c r="C55" i="27"/>
  <c r="E55" i="27"/>
  <c r="G30" i="26"/>
  <c r="F30" i="26" s="1"/>
  <c r="H30" i="26" s="1"/>
  <c r="C31" i="26" l="1"/>
  <c r="G31" i="26" s="1"/>
  <c r="F31" i="26" s="1"/>
  <c r="H31" i="26" s="1"/>
  <c r="C69" i="25"/>
  <c r="E69" i="25"/>
  <c r="I68" i="25"/>
  <c r="G55" i="27"/>
  <c r="F55" i="27" s="1"/>
  <c r="H55" i="27" l="1"/>
  <c r="C32" i="26"/>
  <c r="G32" i="26" s="1"/>
  <c r="F32" i="26" s="1"/>
  <c r="H32" i="26" s="1"/>
  <c r="G69" i="25"/>
  <c r="F69" i="25" s="1"/>
  <c r="H69" i="25" l="1"/>
  <c r="C33" i="26"/>
  <c r="G33" i="26" s="1"/>
  <c r="F33" i="26" s="1"/>
  <c r="H33" i="26" s="1"/>
  <c r="C56" i="27"/>
  <c r="E56" i="27"/>
  <c r="G56" i="27" l="1"/>
  <c r="F56" i="27" s="1"/>
  <c r="C34" i="26"/>
  <c r="G34" i="26" s="1"/>
  <c r="F34" i="26" s="1"/>
  <c r="H34" i="26" s="1"/>
  <c r="E35" i="26" s="1"/>
  <c r="C70" i="25"/>
  <c r="G70" i="25" s="1"/>
  <c r="F70" i="25" s="1"/>
  <c r="I69" i="25"/>
  <c r="H56" i="27" l="1"/>
  <c r="H70" i="25"/>
  <c r="E71" i="25" s="1"/>
  <c r="C35" i="26"/>
  <c r="G35" i="26" s="1"/>
  <c r="F35" i="26" s="1"/>
  <c r="H35" i="26" s="1"/>
  <c r="C36" i="26" l="1"/>
  <c r="E36" i="26"/>
  <c r="C71" i="25"/>
  <c r="G71" i="25" s="1"/>
  <c r="F71" i="25" s="1"/>
  <c r="I70" i="25"/>
  <c r="C57" i="27"/>
  <c r="E57" i="27"/>
  <c r="G57" i="27" l="1"/>
  <c r="F57" i="27" s="1"/>
  <c r="H71" i="25"/>
  <c r="G36" i="26"/>
  <c r="F36" i="26" s="1"/>
  <c r="H36" i="26" s="1"/>
  <c r="C37" i="26" l="1"/>
  <c r="G37" i="26" s="1"/>
  <c r="F37" i="26" s="1"/>
  <c r="H37" i="26" s="1"/>
  <c r="H57" i="27"/>
  <c r="C72" i="25"/>
  <c r="E72" i="25"/>
  <c r="I71" i="25"/>
  <c r="G72" i="25" l="1"/>
  <c r="F72" i="25" s="1"/>
  <c r="C58" i="27"/>
  <c r="E58" i="27"/>
  <c r="C38" i="26"/>
  <c r="G38" i="26" s="1"/>
  <c r="F38" i="26" s="1"/>
  <c r="H38" i="26" s="1"/>
  <c r="C39" i="26" l="1"/>
  <c r="G39" i="26" s="1"/>
  <c r="F39" i="26" s="1"/>
  <c r="H39" i="26" s="1"/>
  <c r="H72" i="25"/>
  <c r="G58" i="27"/>
  <c r="F58" i="27" s="1"/>
  <c r="H58" i="27" l="1"/>
  <c r="C40" i="26"/>
  <c r="G40" i="26" s="1"/>
  <c r="F40" i="26" s="1"/>
  <c r="H40" i="26" s="1"/>
  <c r="E41" i="26" s="1"/>
  <c r="C73" i="25"/>
  <c r="G73" i="25" s="1"/>
  <c r="F73" i="25" s="1"/>
  <c r="I72" i="25"/>
  <c r="C41" i="26" l="1"/>
  <c r="G41" i="26" s="1"/>
  <c r="F41" i="26" s="1"/>
  <c r="H41" i="26" s="1"/>
  <c r="H73" i="25"/>
  <c r="E74" i="25" s="1"/>
  <c r="C59" i="27"/>
  <c r="E59" i="27"/>
  <c r="G59" i="27" l="1"/>
  <c r="F59" i="27" s="1"/>
  <c r="C74" i="25"/>
  <c r="G74" i="25" s="1"/>
  <c r="F74" i="25" s="1"/>
  <c r="H74" i="25" s="1"/>
  <c r="I73" i="25"/>
  <c r="D41" i="26"/>
  <c r="C42" i="26"/>
  <c r="H59" i="27" l="1"/>
  <c r="C75" i="25"/>
  <c r="E75" i="25"/>
  <c r="I74" i="25"/>
  <c r="E42" i="26"/>
  <c r="G75" i="25" l="1"/>
  <c r="F75" i="25" s="1"/>
  <c r="G42" i="26"/>
  <c r="F42" i="26" s="1"/>
  <c r="H42" i="26" s="1"/>
  <c r="C60" i="27"/>
  <c r="E60" i="27"/>
  <c r="C43" i="26" l="1"/>
  <c r="G43" i="26" s="1"/>
  <c r="F43" i="26" s="1"/>
  <c r="H43" i="26" s="1"/>
  <c r="H75" i="25"/>
  <c r="G60" i="27"/>
  <c r="F60" i="27" s="1"/>
  <c r="N18" i="26"/>
  <c r="H60" i="27" l="1"/>
  <c r="C44" i="26"/>
  <c r="G44" i="26" s="1"/>
  <c r="F44" i="26" s="1"/>
  <c r="H44" i="26" s="1"/>
  <c r="C76" i="25"/>
  <c r="G76" i="25" s="1"/>
  <c r="F76" i="25" s="1"/>
  <c r="I75" i="25"/>
  <c r="O18" i="26"/>
  <c r="M18" i="26" l="1"/>
  <c r="C45" i="26"/>
  <c r="G45" i="26" s="1"/>
  <c r="F45" i="26" s="1"/>
  <c r="H76" i="25"/>
  <c r="E77" i="25" s="1"/>
  <c r="C61" i="27"/>
  <c r="E61" i="27"/>
  <c r="G61" i="27" l="1"/>
  <c r="F61" i="27" s="1"/>
  <c r="C77" i="25"/>
  <c r="G77" i="25" s="1"/>
  <c r="F77" i="25" s="1"/>
  <c r="H77" i="25" s="1"/>
  <c r="I76" i="25"/>
  <c r="H45" i="26"/>
  <c r="N21" i="25"/>
  <c r="C46" i="26" l="1"/>
  <c r="G46" i="26" s="1"/>
  <c r="F46" i="26" s="1"/>
  <c r="H46" i="26" s="1"/>
  <c r="E47" i="26" s="1"/>
  <c r="C78" i="25"/>
  <c r="D77" i="25"/>
  <c r="H61" i="27"/>
  <c r="O21" i="25"/>
  <c r="M21" i="25" l="1"/>
  <c r="C47" i="26"/>
  <c r="G47" i="26" s="1"/>
  <c r="F47" i="26" s="1"/>
  <c r="C62" i="27"/>
  <c r="E62" i="27"/>
  <c r="E78" i="25"/>
  <c r="I77" i="25"/>
  <c r="D36" i="28"/>
  <c r="D47" i="28"/>
  <c r="D39" i="28"/>
  <c r="D35" i="28"/>
  <c r="D44" i="28"/>
  <c r="G62" i="27" l="1"/>
  <c r="F62" i="27" s="1"/>
  <c r="H47" i="26"/>
  <c r="I47" i="26" s="1"/>
  <c r="G78" i="25"/>
  <c r="F78" i="25" s="1"/>
  <c r="I29" i="26"/>
  <c r="I30" i="26"/>
  <c r="I31" i="26"/>
  <c r="I32" i="26"/>
  <c r="I33" i="26"/>
  <c r="I34" i="26"/>
  <c r="I35" i="26"/>
  <c r="I36" i="26"/>
  <c r="I37" i="26"/>
  <c r="I38" i="26"/>
  <c r="I39" i="26"/>
  <c r="I40" i="26"/>
  <c r="I41" i="26"/>
  <c r="I42" i="26"/>
  <c r="I43" i="26"/>
  <c r="I44" i="26"/>
  <c r="I45" i="26"/>
  <c r="I46" i="26"/>
  <c r="H78" i="25" l="1"/>
  <c r="H62" i="27"/>
  <c r="C48" i="26"/>
  <c r="E48" i="26"/>
  <c r="G48" i="26" l="1"/>
  <c r="F48" i="26" s="1"/>
  <c r="H48" i="26" s="1"/>
  <c r="C63" i="27"/>
  <c r="E63" i="27"/>
  <c r="C79" i="25"/>
  <c r="G79" i="25" s="1"/>
  <c r="F79" i="25" s="1"/>
  <c r="H79" i="25" s="1"/>
  <c r="E80" i="25" s="1"/>
  <c r="I78" i="25"/>
  <c r="C49" i="26" l="1"/>
  <c r="G49" i="26" s="1"/>
  <c r="F49" i="26" s="1"/>
  <c r="H49" i="26" s="1"/>
  <c r="I48" i="26"/>
  <c r="C80" i="25"/>
  <c r="G80" i="25" s="1"/>
  <c r="F80" i="25" s="1"/>
  <c r="I79" i="25"/>
  <c r="G63" i="27"/>
  <c r="F63" i="27" s="1"/>
  <c r="H63" i="27" s="1"/>
  <c r="C50" i="26" l="1"/>
  <c r="G50" i="26" s="1"/>
  <c r="F50" i="26" s="1"/>
  <c r="I49" i="26"/>
  <c r="H80" i="25"/>
  <c r="C64" i="27"/>
  <c r="E64" i="27"/>
  <c r="C81" i="25" l="1"/>
  <c r="I80" i="25"/>
  <c r="E81" i="25"/>
  <c r="G64" i="27"/>
  <c r="F64" i="27" s="1"/>
  <c r="H50" i="26"/>
  <c r="H64" i="27" l="1"/>
  <c r="E65" i="27" s="1"/>
  <c r="C51" i="26"/>
  <c r="G51" i="26" s="1"/>
  <c r="F51" i="26" s="1"/>
  <c r="H51" i="26" s="1"/>
  <c r="I50" i="26"/>
  <c r="G81" i="25"/>
  <c r="F81" i="25" s="1"/>
  <c r="H81" i="25" l="1"/>
  <c r="C52" i="26"/>
  <c r="G52" i="26" s="1"/>
  <c r="F52" i="26" s="1"/>
  <c r="H52" i="26" s="1"/>
  <c r="E53" i="26" s="1"/>
  <c r="I51" i="26"/>
  <c r="C65" i="27"/>
  <c r="G65" i="27" s="1"/>
  <c r="F65" i="27" s="1"/>
  <c r="H65" i="27" s="1"/>
  <c r="N20" i="27"/>
  <c r="E5" i="3" a="1"/>
  <c r="D65" i="27" l="1"/>
  <c r="C66" i="27"/>
  <c r="C53" i="26"/>
  <c r="G53" i="26" s="1"/>
  <c r="F53" i="26" s="1"/>
  <c r="H53" i="26" s="1"/>
  <c r="I52" i="26"/>
  <c r="C82" i="25"/>
  <c r="G82" i="25" s="1"/>
  <c r="F82" i="25" s="1"/>
  <c r="H82" i="25" s="1"/>
  <c r="E83" i="25" s="1"/>
  <c r="I81" i="25"/>
  <c r="E5" i="3"/>
  <c r="O20" i="27"/>
  <c r="F5" i="3" a="1"/>
  <c r="N19" i="26"/>
  <c r="M20" i="27" l="1"/>
  <c r="C54" i="26"/>
  <c r="D53" i="26"/>
  <c r="C83" i="25"/>
  <c r="G83" i="25" s="1"/>
  <c r="F83" i="25" s="1"/>
  <c r="I82" i="25"/>
  <c r="E66" i="27"/>
  <c r="G66" i="27" s="1"/>
  <c r="F5" i="3"/>
  <c r="O19" i="26"/>
  <c r="M19" i="26" l="1"/>
  <c r="E54" i="26"/>
  <c r="G54" i="26" s="1"/>
  <c r="I53" i="26"/>
  <c r="H83" i="25"/>
  <c r="F66" i="27"/>
  <c r="C84" i="25" l="1"/>
  <c r="I83" i="25"/>
  <c r="E84" i="25"/>
  <c r="F54" i="26"/>
  <c r="H66" i="27"/>
  <c r="C67" i="27" l="1"/>
  <c r="E67" i="27"/>
  <c r="H54" i="26"/>
  <c r="G84" i="25"/>
  <c r="F84" i="25" s="1"/>
  <c r="I66" i="27"/>
  <c r="P21" i="25"/>
  <c r="I65" i="27"/>
  <c r="P20" i="27"/>
  <c r="I64" i="27"/>
  <c r="I63" i="27"/>
  <c r="I62" i="27"/>
  <c r="I61" i="27"/>
  <c r="I60" i="27"/>
  <c r="F8" i="3"/>
  <c r="G67" i="27" l="1"/>
  <c r="F67" i="27" s="1"/>
  <c r="H84" i="25"/>
  <c r="C55" i="26"/>
  <c r="G55" i="26" s="1"/>
  <c r="F55" i="26" s="1"/>
  <c r="H55" i="26" s="1"/>
  <c r="I54" i="26"/>
  <c r="I59" i="27"/>
  <c r="I58" i="27"/>
  <c r="I57" i="27"/>
  <c r="P20" i="25"/>
  <c r="I56" i="27"/>
  <c r="I55" i="27"/>
  <c r="I54" i="27"/>
  <c r="I53" i="27"/>
  <c r="P19" i="27"/>
  <c r="I52" i="27"/>
  <c r="I51" i="27"/>
  <c r="I50" i="27"/>
  <c r="I49" i="27"/>
  <c r="F9" i="3"/>
  <c r="F23" i="3" s="1"/>
  <c r="N7" i="12" s="1"/>
  <c r="I48" i="27"/>
  <c r="P19" i="25"/>
  <c r="I47" i="27"/>
  <c r="P19" i="26"/>
  <c r="I46" i="27"/>
  <c r="I45" i="27"/>
  <c r="I44" i="27"/>
  <c r="I43" i="27"/>
  <c r="E8" i="3"/>
  <c r="C56" i="26" l="1"/>
  <c r="G56" i="26" s="1"/>
  <c r="F56" i="26" s="1"/>
  <c r="I55" i="26"/>
  <c r="H67" i="27"/>
  <c r="C85" i="25"/>
  <c r="G85" i="25" s="1"/>
  <c r="F85" i="25" s="1"/>
  <c r="H85" i="25" s="1"/>
  <c r="E86" i="25" s="1"/>
  <c r="I84" i="25"/>
  <c r="I42" i="27"/>
  <c r="I41" i="27"/>
  <c r="P18" i="27"/>
  <c r="I40" i="27"/>
  <c r="I39" i="27"/>
  <c r="E9" i="3"/>
  <c r="I38" i="27"/>
  <c r="P18" i="25"/>
  <c r="P18" i="26"/>
  <c r="I37" i="27"/>
  <c r="I36" i="27"/>
  <c r="I35" i="27"/>
  <c r="I34" i="27"/>
  <c r="I33" i="27"/>
  <c r="I32" i="27"/>
  <c r="I31" i="27"/>
  <c r="I30" i="27"/>
  <c r="I29" i="27"/>
  <c r="C86" i="25" l="1"/>
  <c r="G86" i="25" s="1"/>
  <c r="F86" i="25" s="1"/>
  <c r="H86" i="25" s="1"/>
  <c r="I85" i="25"/>
  <c r="C68" i="27"/>
  <c r="E68" i="27"/>
  <c r="I67" i="27"/>
  <c r="E23" i="3"/>
  <c r="H56" i="26"/>
  <c r="C87" i="25" l="1"/>
  <c r="I86" i="25"/>
  <c r="E87" i="25"/>
  <c r="N6" i="12"/>
  <c r="G68" i="27"/>
  <c r="F68" i="27" s="1"/>
  <c r="C57" i="26"/>
  <c r="G57" i="26" s="1"/>
  <c r="F57" i="26" s="1"/>
  <c r="H57" i="26" s="1"/>
  <c r="I56" i="26"/>
  <c r="C58" i="26" l="1"/>
  <c r="G58" i="26" s="1"/>
  <c r="F58" i="26" s="1"/>
  <c r="H58" i="26" s="1"/>
  <c r="E59" i="26" s="1"/>
  <c r="I57" i="26"/>
  <c r="H68" i="27"/>
  <c r="G87" i="25"/>
  <c r="F87" i="25" s="1"/>
  <c r="H87" i="25" l="1"/>
  <c r="C69" i="27"/>
  <c r="E69" i="27"/>
  <c r="I68" i="27"/>
  <c r="C59" i="26"/>
  <c r="G59" i="26" s="1"/>
  <c r="F59" i="26" s="1"/>
  <c r="I58" i="26"/>
  <c r="H59" i="26" l="1"/>
  <c r="G69" i="27"/>
  <c r="F69" i="27" s="1"/>
  <c r="C88" i="25"/>
  <c r="G88" i="25" s="1"/>
  <c r="F88" i="25" s="1"/>
  <c r="H88" i="25" s="1"/>
  <c r="E89" i="25" s="1"/>
  <c r="I87" i="25"/>
  <c r="H69" i="27" l="1"/>
  <c r="C89" i="25"/>
  <c r="G89" i="25" s="1"/>
  <c r="F89" i="25" s="1"/>
  <c r="I88" i="25"/>
  <c r="C60" i="26"/>
  <c r="I59" i="26"/>
  <c r="E60" i="26"/>
  <c r="N22" i="25"/>
  <c r="P22" i="25" l="1"/>
  <c r="G60" i="26"/>
  <c r="F60" i="26" s="1"/>
  <c r="H89" i="25"/>
  <c r="C70" i="27"/>
  <c r="E70" i="27"/>
  <c r="I69" i="27"/>
  <c r="O22" i="25"/>
  <c r="M22" i="25" l="1"/>
  <c r="H60" i="26"/>
  <c r="D89" i="25"/>
  <c r="C90" i="25"/>
  <c r="G70" i="27"/>
  <c r="F70" i="27" s="1"/>
  <c r="H70" i="27" l="1"/>
  <c r="E90" i="25"/>
  <c r="I89" i="25"/>
  <c r="C61" i="26"/>
  <c r="G61" i="26" s="1"/>
  <c r="F61" i="26" s="1"/>
  <c r="I60" i="26"/>
  <c r="G90" i="25" l="1"/>
  <c r="F90" i="25" s="1"/>
  <c r="H61" i="26"/>
  <c r="C71" i="27"/>
  <c r="E71" i="27"/>
  <c r="I70" i="27"/>
  <c r="G71" i="27" l="1"/>
  <c r="F71" i="27" s="1"/>
  <c r="H71" i="27" s="1"/>
  <c r="C62" i="26"/>
  <c r="G62" i="26" s="1"/>
  <c r="F62" i="26" s="1"/>
  <c r="I61" i="26"/>
  <c r="H90" i="25"/>
  <c r="C72" i="27" l="1"/>
  <c r="E72" i="27"/>
  <c r="I71" i="27"/>
  <c r="C91" i="25"/>
  <c r="G91" i="25" s="1"/>
  <c r="F91" i="25" s="1"/>
  <c r="I90" i="25"/>
  <c r="H62" i="26"/>
  <c r="C63" i="26" l="1"/>
  <c r="G63" i="26" s="1"/>
  <c r="F63" i="26" s="1"/>
  <c r="H63" i="26" s="1"/>
  <c r="I62" i="26"/>
  <c r="H91" i="25"/>
  <c r="E92" i="25" s="1"/>
  <c r="G72" i="27"/>
  <c r="F72" i="27" s="1"/>
  <c r="H72" i="27" l="1"/>
  <c r="C92" i="25"/>
  <c r="G92" i="25" s="1"/>
  <c r="F92" i="25" s="1"/>
  <c r="I91" i="25"/>
  <c r="C64" i="26"/>
  <c r="G64" i="26" s="1"/>
  <c r="F64" i="26" s="1"/>
  <c r="I63" i="26"/>
  <c r="H64" i="26" l="1"/>
  <c r="E65" i="26" s="1"/>
  <c r="H92" i="25"/>
  <c r="C73" i="27"/>
  <c r="E73" i="27"/>
  <c r="I72" i="27"/>
  <c r="G73" i="27" l="1"/>
  <c r="F73" i="27" s="1"/>
  <c r="C93" i="25"/>
  <c r="I92" i="25"/>
  <c r="E93" i="25"/>
  <c r="C65" i="26"/>
  <c r="G65" i="26" s="1"/>
  <c r="F65" i="26" s="1"/>
  <c r="I64" i="26"/>
  <c r="N20" i="26"/>
  <c r="G5" i="3" a="1"/>
  <c r="G5" i="3" l="1"/>
  <c r="P20" i="26"/>
  <c r="H73" i="27"/>
  <c r="H65" i="26"/>
  <c r="G93" i="25"/>
  <c r="F93" i="25" s="1"/>
  <c r="G8" i="3"/>
  <c r="O20" i="26"/>
  <c r="G9" i="3" l="1"/>
  <c r="M20" i="26"/>
  <c r="H93" i="25"/>
  <c r="C66" i="26"/>
  <c r="D65" i="26"/>
  <c r="C74" i="27"/>
  <c r="E74" i="27"/>
  <c r="I73" i="27"/>
  <c r="G74" i="27" l="1"/>
  <c r="F74" i="27" s="1"/>
  <c r="H74" i="27" s="1"/>
  <c r="C94" i="25"/>
  <c r="G94" i="25" s="1"/>
  <c r="F94" i="25" s="1"/>
  <c r="H94" i="25" s="1"/>
  <c r="E95" i="25" s="1"/>
  <c r="I93" i="25"/>
  <c r="E66" i="26"/>
  <c r="G66" i="26" s="1"/>
  <c r="I65" i="26"/>
  <c r="G23" i="3"/>
  <c r="N8" i="12" l="1"/>
  <c r="C75" i="27"/>
  <c r="E75" i="27"/>
  <c r="I74" i="27"/>
  <c r="C95" i="25"/>
  <c r="G95" i="25" s="1"/>
  <c r="F95" i="25" s="1"/>
  <c r="H95" i="25" s="1"/>
  <c r="I94" i="25"/>
  <c r="F66" i="26"/>
  <c r="H66" i="26" s="1"/>
  <c r="C67" i="26" l="1"/>
  <c r="G67" i="26" s="1"/>
  <c r="F67" i="26" s="1"/>
  <c r="H67" i="26" s="1"/>
  <c r="I66" i="26"/>
  <c r="C96" i="25"/>
  <c r="I95" i="25"/>
  <c r="E96" i="25"/>
  <c r="G75" i="27"/>
  <c r="F75" i="27" s="1"/>
  <c r="C68" i="26" l="1"/>
  <c r="G68" i="26" s="1"/>
  <c r="F68" i="26" s="1"/>
  <c r="H68" i="26" s="1"/>
  <c r="I67" i="26"/>
  <c r="G96" i="25"/>
  <c r="F96" i="25" s="1"/>
  <c r="H75" i="27"/>
  <c r="H96" i="25" l="1"/>
  <c r="C69" i="26"/>
  <c r="G69" i="26" s="1"/>
  <c r="F69" i="26" s="1"/>
  <c r="H69" i="26" s="1"/>
  <c r="I68" i="26"/>
  <c r="C76" i="27"/>
  <c r="E76" i="27"/>
  <c r="I75" i="27"/>
  <c r="C70" i="26" l="1"/>
  <c r="G70" i="26" s="1"/>
  <c r="F70" i="26" s="1"/>
  <c r="H70" i="26" s="1"/>
  <c r="E71" i="26" s="1"/>
  <c r="I69" i="26"/>
  <c r="G76" i="27"/>
  <c r="F76" i="27" s="1"/>
  <c r="C97" i="25"/>
  <c r="G97" i="25" s="1"/>
  <c r="F97" i="25" s="1"/>
  <c r="I96" i="25"/>
  <c r="H76" i="27" l="1"/>
  <c r="E77" i="27" s="1"/>
  <c r="C71" i="26"/>
  <c r="G71" i="26" s="1"/>
  <c r="F71" i="26" s="1"/>
  <c r="H71" i="26" s="1"/>
  <c r="I70" i="26"/>
  <c r="H97" i="25"/>
  <c r="E98" i="25" s="1"/>
  <c r="C98" i="25" l="1"/>
  <c r="G98" i="25" s="1"/>
  <c r="F98" i="25" s="1"/>
  <c r="H98" i="25" s="1"/>
  <c r="I97" i="25"/>
  <c r="C72" i="26"/>
  <c r="I71" i="26"/>
  <c r="E72" i="26"/>
  <c r="C77" i="27"/>
  <c r="G77" i="27" s="1"/>
  <c r="F77" i="27" s="1"/>
  <c r="I76" i="27"/>
  <c r="N21" i="27"/>
  <c r="P21" i="27" l="1"/>
  <c r="G72" i="26"/>
  <c r="F72" i="26" s="1"/>
  <c r="H77" i="27"/>
  <c r="C99" i="25"/>
  <c r="I98" i="25"/>
  <c r="E99" i="25"/>
  <c r="O21" i="27"/>
  <c r="G99" i="25" l="1"/>
  <c r="F99" i="25" s="1"/>
  <c r="H99" i="25" s="1"/>
  <c r="M21" i="27"/>
  <c r="H72" i="26"/>
  <c r="D77" i="27"/>
  <c r="C78" i="27"/>
  <c r="C100" i="25" l="1"/>
  <c r="G100" i="25" s="1"/>
  <c r="F100" i="25" s="1"/>
  <c r="I99" i="25"/>
  <c r="E78" i="27"/>
  <c r="I77" i="27"/>
  <c r="C73" i="26"/>
  <c r="G73" i="26" s="1"/>
  <c r="F73" i="26" s="1"/>
  <c r="I72" i="26"/>
  <c r="H100" i="25" l="1"/>
  <c r="E101" i="25" s="1"/>
  <c r="H73" i="26"/>
  <c r="G78" i="27"/>
  <c r="F78" i="27" s="1"/>
  <c r="H78" i="27" l="1"/>
  <c r="C101" i="25"/>
  <c r="G101" i="25" s="1"/>
  <c r="F101" i="25" s="1"/>
  <c r="H101" i="25" s="1"/>
  <c r="I100" i="25"/>
  <c r="C74" i="26"/>
  <c r="G74" i="26" s="1"/>
  <c r="F74" i="26" s="1"/>
  <c r="H74" i="26" s="1"/>
  <c r="I73" i="26"/>
  <c r="N23" i="25"/>
  <c r="P23" i="25" l="1"/>
  <c r="C102" i="25"/>
  <c r="D101" i="25"/>
  <c r="C75" i="26"/>
  <c r="G75" i="26" s="1"/>
  <c r="F75" i="26" s="1"/>
  <c r="I74" i="26"/>
  <c r="C79" i="27"/>
  <c r="I78" i="27"/>
  <c r="E79" i="27"/>
  <c r="O23" i="25"/>
  <c r="M23" i="25" l="1"/>
  <c r="H75" i="26"/>
  <c r="E102" i="25"/>
  <c r="I101" i="25"/>
  <c r="G79" i="27"/>
  <c r="F79" i="27" s="1"/>
  <c r="H79" i="27" s="1"/>
  <c r="C80" i="27" l="1"/>
  <c r="I79" i="27"/>
  <c r="E80" i="27"/>
  <c r="G102" i="25"/>
  <c r="F102" i="25" s="1"/>
  <c r="C76" i="26"/>
  <c r="G76" i="26" s="1"/>
  <c r="F76" i="26" s="1"/>
  <c r="I75" i="26"/>
  <c r="H102" i="25" l="1"/>
  <c r="G80" i="27"/>
  <c r="F80" i="27" s="1"/>
  <c r="H76" i="26"/>
  <c r="E77" i="26" s="1"/>
  <c r="H80" i="27" l="1"/>
  <c r="C77" i="26"/>
  <c r="G77" i="26" s="1"/>
  <c r="F77" i="26" s="1"/>
  <c r="I76" i="26"/>
  <c r="C103" i="25"/>
  <c r="G103" i="25" s="1"/>
  <c r="F103" i="25" s="1"/>
  <c r="I102" i="25"/>
  <c r="N21" i="26"/>
  <c r="H5" i="3" a="1"/>
  <c r="H5" i="3" l="1"/>
  <c r="P21" i="26"/>
  <c r="H103" i="25"/>
  <c r="E104" i="25" s="1"/>
  <c r="H77" i="26"/>
  <c r="C81" i="27"/>
  <c r="I80" i="27"/>
  <c r="E81" i="27"/>
  <c r="H8" i="3"/>
  <c r="O21" i="26"/>
  <c r="H9" i="3" l="1"/>
  <c r="M21" i="26"/>
  <c r="G81" i="27"/>
  <c r="F81" i="27" s="1"/>
  <c r="H81" i="27" s="1"/>
  <c r="C104" i="25"/>
  <c r="G104" i="25" s="1"/>
  <c r="F104" i="25" s="1"/>
  <c r="I103" i="25"/>
  <c r="D77" i="26"/>
  <c r="C78" i="26"/>
  <c r="C82" i="27" l="1"/>
  <c r="I81" i="27"/>
  <c r="E82" i="27"/>
  <c r="E78" i="26"/>
  <c r="I77" i="26"/>
  <c r="H104" i="25"/>
  <c r="H23" i="3"/>
  <c r="C105" i="25" l="1"/>
  <c r="I104" i="25"/>
  <c r="E105" i="25"/>
  <c r="N9" i="12"/>
  <c r="G78" i="26"/>
  <c r="F78" i="26" s="1"/>
  <c r="H78" i="26" s="1"/>
  <c r="G82" i="27"/>
  <c r="F82" i="27" s="1"/>
  <c r="C79" i="26" l="1"/>
  <c r="G79" i="26" s="1"/>
  <c r="F79" i="26" s="1"/>
  <c r="H79" i="26" s="1"/>
  <c r="I78" i="26"/>
  <c r="H82" i="27"/>
  <c r="G105" i="25"/>
  <c r="F105" i="25" s="1"/>
  <c r="H105" i="25" l="1"/>
  <c r="C83" i="27"/>
  <c r="I82" i="27"/>
  <c r="E83" i="27"/>
  <c r="C80" i="26"/>
  <c r="G80" i="26" s="1"/>
  <c r="F80" i="26" s="1"/>
  <c r="H80" i="26" s="1"/>
  <c r="I79" i="26"/>
  <c r="C81" i="26" l="1"/>
  <c r="G81" i="26" s="1"/>
  <c r="F81" i="26" s="1"/>
  <c r="I80" i="26"/>
  <c r="G83" i="27"/>
  <c r="F83" i="27" s="1"/>
  <c r="C106" i="25"/>
  <c r="G106" i="25" s="1"/>
  <c r="F106" i="25" s="1"/>
  <c r="H106" i="25" s="1"/>
  <c r="E107" i="25" s="1"/>
  <c r="I105" i="25"/>
  <c r="C107" i="25" l="1"/>
  <c r="G107" i="25" s="1"/>
  <c r="F107" i="25" s="1"/>
  <c r="I106" i="25"/>
  <c r="H83" i="27"/>
  <c r="H81" i="26"/>
  <c r="C84" i="27" l="1"/>
  <c r="I83" i="27"/>
  <c r="E84" i="27"/>
  <c r="C82" i="26"/>
  <c r="G82" i="26" s="1"/>
  <c r="F82" i="26" s="1"/>
  <c r="H82" i="26" s="1"/>
  <c r="E83" i="26" s="1"/>
  <c r="I81" i="26"/>
  <c r="H107" i="25"/>
  <c r="C83" i="26" l="1"/>
  <c r="G83" i="26" s="1"/>
  <c r="F83" i="26" s="1"/>
  <c r="I82" i="26"/>
  <c r="C108" i="25"/>
  <c r="I107" i="25"/>
  <c r="E108" i="25"/>
  <c r="G84" i="27"/>
  <c r="F84" i="27" s="1"/>
  <c r="G108" i="25" l="1"/>
  <c r="F108" i="25" s="1"/>
  <c r="H108" i="25" s="1"/>
  <c r="H84" i="27"/>
  <c r="H83" i="26"/>
  <c r="C109" i="25" l="1"/>
  <c r="G109" i="25" s="1"/>
  <c r="F109" i="25" s="1"/>
  <c r="I108" i="25"/>
  <c r="C84" i="26"/>
  <c r="I83" i="26"/>
  <c r="E84" i="26"/>
  <c r="C85" i="27"/>
  <c r="I84" i="27"/>
  <c r="E85" i="27"/>
  <c r="G85" i="27" l="1"/>
  <c r="F85" i="27" s="1"/>
  <c r="G84" i="26"/>
  <c r="F84" i="26" s="1"/>
  <c r="H109" i="25"/>
  <c r="E110" i="25" s="1"/>
  <c r="H84" i="26" l="1"/>
  <c r="C110" i="25"/>
  <c r="G110" i="25" s="1"/>
  <c r="F110" i="25" s="1"/>
  <c r="H110" i="25" s="1"/>
  <c r="I109" i="25"/>
  <c r="H85" i="27"/>
  <c r="C111" i="25" l="1"/>
  <c r="I110" i="25"/>
  <c r="E111" i="25"/>
  <c r="C86" i="27"/>
  <c r="I85" i="27"/>
  <c r="E86" i="27"/>
  <c r="C85" i="26"/>
  <c r="G85" i="26" s="1"/>
  <c r="F85" i="26" s="1"/>
  <c r="H85" i="26" s="1"/>
  <c r="I84" i="26"/>
  <c r="C86" i="26" l="1"/>
  <c r="G86" i="26" s="1"/>
  <c r="F86" i="26" s="1"/>
  <c r="H86" i="26" s="1"/>
  <c r="I85" i="26"/>
  <c r="G86" i="27"/>
  <c r="F86" i="27" s="1"/>
  <c r="G111" i="25"/>
  <c r="F111" i="25" s="1"/>
  <c r="H86" i="27" l="1"/>
  <c r="C87" i="26"/>
  <c r="G87" i="26" s="1"/>
  <c r="F87" i="26" s="1"/>
  <c r="H87" i="26" s="1"/>
  <c r="I86" i="26"/>
  <c r="H111" i="25"/>
  <c r="C88" i="26" l="1"/>
  <c r="G88" i="26" s="1"/>
  <c r="F88" i="26" s="1"/>
  <c r="H88" i="26" s="1"/>
  <c r="E89" i="26" s="1"/>
  <c r="I87" i="26"/>
  <c r="C112" i="25"/>
  <c r="G112" i="25" s="1"/>
  <c r="F112" i="25" s="1"/>
  <c r="H112" i="25" s="1"/>
  <c r="E113" i="25" s="1"/>
  <c r="I111" i="25"/>
  <c r="C87" i="27"/>
  <c r="I86" i="27"/>
  <c r="E87" i="27"/>
  <c r="C113" i="25" l="1"/>
  <c r="G113" i="25" s="1"/>
  <c r="F113" i="25" s="1"/>
  <c r="I112" i="25"/>
  <c r="C89" i="26"/>
  <c r="G89" i="26" s="1"/>
  <c r="F89" i="26" s="1"/>
  <c r="H89" i="26" s="1"/>
  <c r="I88" i="26"/>
  <c r="G87" i="27"/>
  <c r="F87" i="27" s="1"/>
  <c r="N22" i="26"/>
  <c r="N24" i="25"/>
  <c r="I5" i="3" a="1"/>
  <c r="I5" i="3" l="1"/>
  <c r="P22" i="26"/>
  <c r="P24" i="25"/>
  <c r="D89" i="26"/>
  <c r="C90" i="26"/>
  <c r="H87" i="27"/>
  <c r="H113" i="25"/>
  <c r="O24" i="25"/>
  <c r="O22" i="26"/>
  <c r="I8" i="3"/>
  <c r="I9" i="3" l="1"/>
  <c r="M24" i="25"/>
  <c r="M22" i="26"/>
  <c r="E90" i="26"/>
  <c r="G90" i="26" s="1"/>
  <c r="I89" i="26"/>
  <c r="D113" i="25"/>
  <c r="C114" i="25"/>
  <c r="C88" i="27"/>
  <c r="I87" i="27"/>
  <c r="E88" i="27"/>
  <c r="F90" i="26" l="1"/>
  <c r="H90" i="26" s="1"/>
  <c r="G88" i="27"/>
  <c r="F88" i="27" s="1"/>
  <c r="E114" i="25"/>
  <c r="G114" i="25" s="1"/>
  <c r="I113" i="25"/>
  <c r="I23" i="3"/>
  <c r="H88" i="27" l="1"/>
  <c r="E89" i="27" s="1"/>
  <c r="C91" i="26"/>
  <c r="G91" i="26" s="1"/>
  <c r="F91" i="26" s="1"/>
  <c r="H91" i="26" s="1"/>
  <c r="I90" i="26"/>
  <c r="N10" i="12"/>
  <c r="F114" i="25"/>
  <c r="H114" i="25" s="1"/>
  <c r="C92" i="26" l="1"/>
  <c r="G92" i="26" s="1"/>
  <c r="F92" i="26" s="1"/>
  <c r="I91" i="26"/>
  <c r="C115" i="25"/>
  <c r="G115" i="25" s="1"/>
  <c r="F115" i="25" s="1"/>
  <c r="I114" i="25"/>
  <c r="C89" i="27"/>
  <c r="G89" i="27" s="1"/>
  <c r="F89" i="27" s="1"/>
  <c r="I88" i="27"/>
  <c r="N22" i="27"/>
  <c r="P22" i="27" l="1"/>
  <c r="H115" i="25"/>
  <c r="E116" i="25" s="1"/>
  <c r="H89" i="27"/>
  <c r="H92" i="26"/>
  <c r="O22" i="27"/>
  <c r="M22" i="27" l="1"/>
  <c r="C93" i="26"/>
  <c r="G93" i="26" s="1"/>
  <c r="F93" i="26" s="1"/>
  <c r="H93" i="26" s="1"/>
  <c r="I92" i="26"/>
  <c r="D89" i="27"/>
  <c r="C90" i="27"/>
  <c r="C116" i="25"/>
  <c r="G116" i="25" s="1"/>
  <c r="F116" i="25" s="1"/>
  <c r="H116" i="25" s="1"/>
  <c r="I115" i="25"/>
  <c r="C94" i="26" l="1"/>
  <c r="G94" i="26" s="1"/>
  <c r="F94" i="26" s="1"/>
  <c r="I93" i="26"/>
  <c r="C117" i="25"/>
  <c r="I116" i="25"/>
  <c r="E117" i="25"/>
  <c r="E90" i="27"/>
  <c r="G90" i="27" s="1"/>
  <c r="I89" i="27"/>
  <c r="G117" i="25" l="1"/>
  <c r="F117" i="25" s="1"/>
  <c r="F90" i="27"/>
  <c r="H90" i="27" s="1"/>
  <c r="H94" i="26"/>
  <c r="E95" i="26" s="1"/>
  <c r="H117" i="25" l="1"/>
  <c r="C91" i="27"/>
  <c r="I90" i="27"/>
  <c r="E91" i="27"/>
  <c r="C95" i="26"/>
  <c r="G95" i="26" s="1"/>
  <c r="F95" i="26" s="1"/>
  <c r="H95" i="26" s="1"/>
  <c r="I94" i="26"/>
  <c r="C96" i="26" l="1"/>
  <c r="I95" i="26"/>
  <c r="E96" i="26"/>
  <c r="G91" i="27"/>
  <c r="F91" i="27" s="1"/>
  <c r="C118" i="25"/>
  <c r="G118" i="25" s="1"/>
  <c r="F118" i="25" s="1"/>
  <c r="I117" i="25"/>
  <c r="H91" i="27" l="1"/>
  <c r="H118" i="25"/>
  <c r="E119" i="25" s="1"/>
  <c r="G96" i="26"/>
  <c r="F96" i="26" s="1"/>
  <c r="H96" i="26" l="1"/>
  <c r="C119" i="25"/>
  <c r="G119" i="25" s="1"/>
  <c r="F119" i="25" s="1"/>
  <c r="H119" i="25" s="1"/>
  <c r="I118" i="25"/>
  <c r="C92" i="27"/>
  <c r="I91" i="27"/>
  <c r="E92" i="27"/>
  <c r="C120" i="25" l="1"/>
  <c r="I119" i="25"/>
  <c r="E120" i="25"/>
  <c r="G92" i="27"/>
  <c r="F92" i="27" s="1"/>
  <c r="H92" i="27" s="1"/>
  <c r="C97" i="26"/>
  <c r="G97" i="26" s="1"/>
  <c r="F97" i="26" s="1"/>
  <c r="H97" i="26" s="1"/>
  <c r="I96" i="26"/>
  <c r="C93" i="27" l="1"/>
  <c r="I92" i="27"/>
  <c r="E93" i="27"/>
  <c r="C98" i="26"/>
  <c r="G98" i="26" s="1"/>
  <c r="F98" i="26" s="1"/>
  <c r="I97" i="26"/>
  <c r="G120" i="25"/>
  <c r="F120" i="25" s="1"/>
  <c r="H120" i="25" s="1"/>
  <c r="C121" i="25" l="1"/>
  <c r="G121" i="25" s="1"/>
  <c r="F121" i="25" s="1"/>
  <c r="H121" i="25" s="1"/>
  <c r="E122" i="25" s="1"/>
  <c r="I120" i="25"/>
  <c r="H98" i="26"/>
  <c r="G93" i="27"/>
  <c r="F93" i="27" s="1"/>
  <c r="H93" i="27" s="1"/>
  <c r="C94" i="27" l="1"/>
  <c r="I93" i="27"/>
  <c r="E94" i="27"/>
  <c r="C99" i="26"/>
  <c r="G99" i="26" s="1"/>
  <c r="F99" i="26" s="1"/>
  <c r="H99" i="26" s="1"/>
  <c r="I98" i="26"/>
  <c r="C122" i="25"/>
  <c r="G122" i="25" s="1"/>
  <c r="F122" i="25" s="1"/>
  <c r="I121" i="25"/>
  <c r="C100" i="26" l="1"/>
  <c r="G100" i="26" s="1"/>
  <c r="F100" i="26" s="1"/>
  <c r="I99" i="26"/>
  <c r="H122" i="25"/>
  <c r="G94" i="27"/>
  <c r="F94" i="27" s="1"/>
  <c r="C123" i="25" l="1"/>
  <c r="I122" i="25"/>
  <c r="E123" i="25"/>
  <c r="H94" i="27"/>
  <c r="H100" i="26"/>
  <c r="E101" i="26" s="1"/>
  <c r="C101" i="26" l="1"/>
  <c r="G101" i="26" s="1"/>
  <c r="F101" i="26" s="1"/>
  <c r="H101" i="26" s="1"/>
  <c r="I100" i="26"/>
  <c r="C95" i="27"/>
  <c r="I94" i="27"/>
  <c r="E95" i="27"/>
  <c r="G123" i="25"/>
  <c r="F123" i="25" s="1"/>
  <c r="H123" i="25" s="1"/>
  <c r="J5" i="3" a="1"/>
  <c r="N23" i="26"/>
  <c r="J5" i="3" l="1"/>
  <c r="P23" i="26"/>
  <c r="C124" i="25"/>
  <c r="G124" i="25" s="1"/>
  <c r="F124" i="25" s="1"/>
  <c r="H124" i="25" s="1"/>
  <c r="E125" i="25" s="1"/>
  <c r="I123" i="25"/>
  <c r="C102" i="26"/>
  <c r="D101" i="26"/>
  <c r="G95" i="27"/>
  <c r="F95" i="27" s="1"/>
  <c r="J8" i="3"/>
  <c r="O23" i="26"/>
  <c r="J9" i="3" l="1"/>
  <c r="J23" i="3" s="1"/>
  <c r="M23" i="26"/>
  <c r="C125" i="25"/>
  <c r="G125" i="25" s="1"/>
  <c r="F125" i="25" s="1"/>
  <c r="H125" i="25" s="1"/>
  <c r="I124" i="25"/>
  <c r="E102" i="26"/>
  <c r="I101" i="26"/>
  <c r="H95" i="27"/>
  <c r="N25" i="25"/>
  <c r="P25" i="25" l="1"/>
  <c r="D125" i="25"/>
  <c r="C126" i="25"/>
  <c r="C96" i="27"/>
  <c r="I95" i="27"/>
  <c r="E96" i="27"/>
  <c r="G102" i="26"/>
  <c r="F102" i="26" s="1"/>
  <c r="H102" i="26" s="1"/>
  <c r="N11" i="12"/>
  <c r="O25" i="25"/>
  <c r="M25" i="25" l="1"/>
  <c r="C103" i="26"/>
  <c r="G103" i="26" s="1"/>
  <c r="F103" i="26" s="1"/>
  <c r="H103" i="26" s="1"/>
  <c r="I102" i="26"/>
  <c r="E126" i="25"/>
  <c r="I125" i="25"/>
  <c r="G96" i="27"/>
  <c r="F96" i="27" s="1"/>
  <c r="H96" i="27" l="1"/>
  <c r="C104" i="26"/>
  <c r="G104" i="26" s="1"/>
  <c r="F104" i="26" s="1"/>
  <c r="H104" i="26" s="1"/>
  <c r="I103" i="26"/>
  <c r="G126" i="25"/>
  <c r="F126" i="25" s="1"/>
  <c r="H126" i="25" l="1"/>
  <c r="C105" i="26"/>
  <c r="G105" i="26" s="1"/>
  <c r="F105" i="26" s="1"/>
  <c r="H105" i="26" s="1"/>
  <c r="I104" i="26"/>
  <c r="C97" i="27"/>
  <c r="I96" i="27"/>
  <c r="E97" i="27"/>
  <c r="G97" i="27" l="1"/>
  <c r="F97" i="27" s="1"/>
  <c r="C106" i="26"/>
  <c r="G106" i="26" s="1"/>
  <c r="F106" i="26" s="1"/>
  <c r="H106" i="26" s="1"/>
  <c r="E107" i="26" s="1"/>
  <c r="I105" i="26"/>
  <c r="C127" i="25"/>
  <c r="G127" i="25" s="1"/>
  <c r="F127" i="25" s="1"/>
  <c r="H127" i="25" s="1"/>
  <c r="E128" i="25" s="1"/>
  <c r="I126" i="25"/>
  <c r="C128" i="25" l="1"/>
  <c r="G128" i="25" s="1"/>
  <c r="F128" i="25" s="1"/>
  <c r="H128" i="25" s="1"/>
  <c r="I127" i="25"/>
  <c r="H97" i="27"/>
  <c r="C107" i="26"/>
  <c r="G107" i="26" s="1"/>
  <c r="F107" i="26" s="1"/>
  <c r="I106" i="26"/>
  <c r="C129" i="25" l="1"/>
  <c r="I128" i="25"/>
  <c r="E129" i="25"/>
  <c r="H107" i="26"/>
  <c r="C98" i="27"/>
  <c r="I97" i="27"/>
  <c r="E98" i="27"/>
  <c r="G98" i="27" l="1"/>
  <c r="F98" i="27" s="1"/>
  <c r="H98" i="27" s="1"/>
  <c r="C108" i="26"/>
  <c r="I107" i="26"/>
  <c r="E108" i="26"/>
  <c r="G129" i="25"/>
  <c r="F129" i="25" s="1"/>
  <c r="H129" i="25" s="1"/>
  <c r="G108" i="26" l="1"/>
  <c r="F108" i="26" s="1"/>
  <c r="H108" i="26" s="1"/>
  <c r="C99" i="27"/>
  <c r="I98" i="27"/>
  <c r="E99" i="27"/>
  <c r="C130" i="25"/>
  <c r="G130" i="25" s="1"/>
  <c r="F130" i="25" s="1"/>
  <c r="I129" i="25"/>
  <c r="C109" i="26" l="1"/>
  <c r="G109" i="26" s="1"/>
  <c r="F109" i="26" s="1"/>
  <c r="I108" i="26"/>
  <c r="G99" i="27"/>
  <c r="F99" i="27" s="1"/>
  <c r="H130" i="25"/>
  <c r="E131" i="25" s="1"/>
  <c r="H99" i="27" l="1"/>
  <c r="C131" i="25"/>
  <c r="G131" i="25" s="1"/>
  <c r="F131" i="25" s="1"/>
  <c r="H131" i="25" s="1"/>
  <c r="I130" i="25"/>
  <c r="H109" i="26"/>
  <c r="C132" i="25" l="1"/>
  <c r="I131" i="25"/>
  <c r="E132" i="25"/>
  <c r="C110" i="26"/>
  <c r="G110" i="26" s="1"/>
  <c r="F110" i="26" s="1"/>
  <c r="H110" i="26" s="1"/>
  <c r="I109" i="26"/>
  <c r="C100" i="27"/>
  <c r="I99" i="27"/>
  <c r="E100" i="27"/>
  <c r="C111" i="26" l="1"/>
  <c r="G111" i="26" s="1"/>
  <c r="F111" i="26" s="1"/>
  <c r="I110" i="26"/>
  <c r="G100" i="27"/>
  <c r="F100" i="27" s="1"/>
  <c r="H100" i="27" s="1"/>
  <c r="E101" i="27" s="1"/>
  <c r="G132" i="25"/>
  <c r="F132" i="25" s="1"/>
  <c r="C101" i="27" l="1"/>
  <c r="G101" i="27" s="1"/>
  <c r="F101" i="27" s="1"/>
  <c r="H101" i="27" s="1"/>
  <c r="I100" i="27"/>
  <c r="H132" i="25"/>
  <c r="H111" i="26"/>
  <c r="N23" i="27"/>
  <c r="P23" i="27" l="1"/>
  <c r="D101" i="27"/>
  <c r="C102" i="27"/>
  <c r="C112" i="26"/>
  <c r="G112" i="26" s="1"/>
  <c r="F112" i="26" s="1"/>
  <c r="H112" i="26" s="1"/>
  <c r="E113" i="26" s="1"/>
  <c r="I111" i="26"/>
  <c r="C133" i="25"/>
  <c r="G133" i="25" s="1"/>
  <c r="F133" i="25" s="1"/>
  <c r="H133" i="25" s="1"/>
  <c r="E134" i="25" s="1"/>
  <c r="I132" i="25"/>
  <c r="O23" i="27"/>
  <c r="M23" i="27" l="1"/>
  <c r="C134" i="25"/>
  <c r="G134" i="25" s="1"/>
  <c r="F134" i="25" s="1"/>
  <c r="H134" i="25" s="1"/>
  <c r="I133" i="25"/>
  <c r="E102" i="27"/>
  <c r="I101" i="27"/>
  <c r="C113" i="26"/>
  <c r="G113" i="26" s="1"/>
  <c r="F113" i="26" s="1"/>
  <c r="H113" i="26" s="1"/>
  <c r="I112" i="26"/>
  <c r="K5" i="3" a="1"/>
  <c r="N24" i="26"/>
  <c r="K5" i="3" l="1"/>
  <c r="P24" i="26"/>
  <c r="D113" i="26"/>
  <c r="C114" i="26"/>
  <c r="C135" i="25"/>
  <c r="I134" i="25"/>
  <c r="E135" i="25"/>
  <c r="G102" i="27"/>
  <c r="F102" i="27" s="1"/>
  <c r="H102" i="27" s="1"/>
  <c r="O24" i="26"/>
  <c r="K8" i="3"/>
  <c r="K9" i="3" l="1"/>
  <c r="K23" i="3" s="1"/>
  <c r="N12" i="12" s="1"/>
  <c r="M24" i="26"/>
  <c r="C103" i="27"/>
  <c r="I102" i="27"/>
  <c r="E103" i="27"/>
  <c r="E114" i="26"/>
  <c r="I113" i="26"/>
  <c r="G135" i="25"/>
  <c r="F135" i="25" s="1"/>
  <c r="H135" i="25" l="1"/>
  <c r="G103" i="27"/>
  <c r="F103" i="27" s="1"/>
  <c r="G114" i="26"/>
  <c r="F114" i="26" s="1"/>
  <c r="H114" i="26" l="1"/>
  <c r="H103" i="27"/>
  <c r="C136" i="25"/>
  <c r="G136" i="25" s="1"/>
  <c r="F136" i="25" s="1"/>
  <c r="H136" i="25" s="1"/>
  <c r="E137" i="25" s="1"/>
  <c r="I135" i="25"/>
  <c r="C137" i="25" l="1"/>
  <c r="G137" i="25" s="1"/>
  <c r="F137" i="25" s="1"/>
  <c r="H137" i="25" s="1"/>
  <c r="I136" i="25"/>
  <c r="C104" i="27"/>
  <c r="I103" i="27"/>
  <c r="E104" i="27"/>
  <c r="C115" i="26"/>
  <c r="G115" i="26" s="1"/>
  <c r="F115" i="26" s="1"/>
  <c r="H115" i="26" s="1"/>
  <c r="I114" i="26"/>
  <c r="N26" i="25"/>
  <c r="P26" i="25" l="1"/>
  <c r="D137" i="25"/>
  <c r="C138" i="25"/>
  <c r="C116" i="26"/>
  <c r="G116" i="26" s="1"/>
  <c r="F116" i="26" s="1"/>
  <c r="H116" i="26" s="1"/>
  <c r="I115" i="26"/>
  <c r="G104" i="27"/>
  <c r="F104" i="27" s="1"/>
  <c r="O26" i="25"/>
  <c r="M26" i="25" l="1"/>
  <c r="H104" i="27"/>
  <c r="C117" i="26"/>
  <c r="G117" i="26" s="1"/>
  <c r="F117" i="26" s="1"/>
  <c r="H117" i="26" s="1"/>
  <c r="I116" i="26"/>
  <c r="E138" i="25"/>
  <c r="G138" i="25" s="1"/>
  <c r="I137" i="25"/>
  <c r="C118" i="26" l="1"/>
  <c r="G118" i="26" s="1"/>
  <c r="F118" i="26" s="1"/>
  <c r="H118" i="26" s="1"/>
  <c r="E119" i="26" s="1"/>
  <c r="I117" i="26"/>
  <c r="C105" i="27"/>
  <c r="I104" i="27"/>
  <c r="E105" i="27"/>
  <c r="F138" i="25"/>
  <c r="H138" i="25" s="1"/>
  <c r="C119" i="26" l="1"/>
  <c r="G119" i="26" s="1"/>
  <c r="F119" i="26" s="1"/>
  <c r="H119" i="26" s="1"/>
  <c r="I118" i="26"/>
  <c r="C139" i="25"/>
  <c r="G139" i="25" s="1"/>
  <c r="F139" i="25" s="1"/>
  <c r="H139" i="25" s="1"/>
  <c r="E140" i="25" s="1"/>
  <c r="I138" i="25"/>
  <c r="G105" i="27"/>
  <c r="F105" i="27" s="1"/>
  <c r="H105" i="27" l="1"/>
  <c r="C140" i="25"/>
  <c r="G140" i="25" s="1"/>
  <c r="F140" i="25" s="1"/>
  <c r="I139" i="25"/>
  <c r="C120" i="26"/>
  <c r="I119" i="26"/>
  <c r="E120" i="26"/>
  <c r="G120" i="26" l="1"/>
  <c r="F120" i="26" s="1"/>
  <c r="H140" i="25"/>
  <c r="C106" i="27"/>
  <c r="I105" i="27"/>
  <c r="E106" i="27"/>
  <c r="H120" i="26" l="1"/>
  <c r="C141" i="25"/>
  <c r="I140" i="25"/>
  <c r="E141" i="25"/>
  <c r="G106" i="27"/>
  <c r="F106" i="27" s="1"/>
  <c r="H106" i="27" l="1"/>
  <c r="G141" i="25"/>
  <c r="F141" i="25" s="1"/>
  <c r="C121" i="26"/>
  <c r="G121" i="26" s="1"/>
  <c r="F121" i="26" s="1"/>
  <c r="I120" i="26"/>
  <c r="H141" i="25" l="1"/>
  <c r="H121" i="26"/>
  <c r="C107" i="27"/>
  <c r="I106" i="27"/>
  <c r="E107" i="27"/>
  <c r="G107" i="27" l="1"/>
  <c r="F107" i="27" s="1"/>
  <c r="H107" i="27" s="1"/>
  <c r="C122" i="26"/>
  <c r="G122" i="26" s="1"/>
  <c r="F122" i="26" s="1"/>
  <c r="H122" i="26" s="1"/>
  <c r="I121" i="26"/>
  <c r="C142" i="25"/>
  <c r="G142" i="25" s="1"/>
  <c r="F142" i="25" s="1"/>
  <c r="I141" i="25"/>
  <c r="C123" i="26" l="1"/>
  <c r="G123" i="26" s="1"/>
  <c r="F123" i="26" s="1"/>
  <c r="H123" i="26" s="1"/>
  <c r="I122" i="26"/>
  <c r="H142" i="25"/>
  <c r="E143" i="25" s="1"/>
  <c r="C108" i="27"/>
  <c r="I107" i="27"/>
  <c r="E108" i="27"/>
  <c r="C124" i="26" l="1"/>
  <c r="G124" i="26" s="1"/>
  <c r="F124" i="26" s="1"/>
  <c r="I123" i="26"/>
  <c r="G108" i="27"/>
  <c r="F108" i="27" s="1"/>
  <c r="C143" i="25"/>
  <c r="G143" i="25" s="1"/>
  <c r="F143" i="25" s="1"/>
  <c r="H143" i="25" s="1"/>
  <c r="I142" i="25"/>
  <c r="H108" i="27" l="1"/>
  <c r="C144" i="25"/>
  <c r="I143" i="25"/>
  <c r="E144" i="25"/>
  <c r="H124" i="26"/>
  <c r="E125" i="26" s="1"/>
  <c r="C125" i="26" l="1"/>
  <c r="G125" i="26" s="1"/>
  <c r="F125" i="26" s="1"/>
  <c r="H125" i="26" s="1"/>
  <c r="I124" i="26"/>
  <c r="G144" i="25"/>
  <c r="F144" i="25" s="1"/>
  <c r="H144" i="25" s="1"/>
  <c r="C109" i="27"/>
  <c r="I108" i="27"/>
  <c r="E109" i="27"/>
  <c r="N25" i="26"/>
  <c r="L5" i="3" a="1"/>
  <c r="L5" i="3" l="1"/>
  <c r="P25" i="26"/>
  <c r="G109" i="27"/>
  <c r="F109" i="27" s="1"/>
  <c r="C145" i="25"/>
  <c r="G145" i="25" s="1"/>
  <c r="F145" i="25" s="1"/>
  <c r="I144" i="25"/>
  <c r="D125" i="26"/>
  <c r="C126" i="26"/>
  <c r="O25" i="26"/>
  <c r="L8" i="3"/>
  <c r="L9" i="3" l="1"/>
  <c r="L23" i="3" s="1"/>
  <c r="N13" i="12" s="1"/>
  <c r="M25" i="26"/>
  <c r="H109" i="27"/>
  <c r="H145" i="25"/>
  <c r="E146" i="25" s="1"/>
  <c r="E126" i="26"/>
  <c r="I125" i="26"/>
  <c r="C146" i="25" l="1"/>
  <c r="G146" i="25" s="1"/>
  <c r="F146" i="25" s="1"/>
  <c r="H146" i="25" s="1"/>
  <c r="I145" i="25"/>
  <c r="G126" i="26"/>
  <c r="F126" i="26" s="1"/>
  <c r="C110" i="27"/>
  <c r="I109" i="27"/>
  <c r="E110" i="27"/>
  <c r="H126" i="26" l="1"/>
  <c r="G110" i="27"/>
  <c r="F110" i="27" s="1"/>
  <c r="H110" i="27" s="1"/>
  <c r="C147" i="25"/>
  <c r="I146" i="25"/>
  <c r="E147" i="25"/>
  <c r="C111" i="27" l="1"/>
  <c r="I110" i="27"/>
  <c r="E111" i="27"/>
  <c r="G147" i="25"/>
  <c r="F147" i="25" s="1"/>
  <c r="H147" i="25" s="1"/>
  <c r="C127" i="26"/>
  <c r="G127" i="26" s="1"/>
  <c r="F127" i="26" s="1"/>
  <c r="H127" i="26" s="1"/>
  <c r="I126" i="26"/>
  <c r="C128" i="26" l="1"/>
  <c r="G128" i="26" s="1"/>
  <c r="F128" i="26" s="1"/>
  <c r="I127" i="26"/>
  <c r="C148" i="25"/>
  <c r="G148" i="25" s="1"/>
  <c r="F148" i="25" s="1"/>
  <c r="H148" i="25" s="1"/>
  <c r="E149" i="25" s="1"/>
  <c r="I147" i="25"/>
  <c r="G111" i="27"/>
  <c r="F111" i="27" s="1"/>
  <c r="C149" i="25" l="1"/>
  <c r="G149" i="25" s="1"/>
  <c r="F149" i="25" s="1"/>
  <c r="I148" i="25"/>
  <c r="H111" i="27"/>
  <c r="H128" i="26"/>
  <c r="N27" i="25"/>
  <c r="P27" i="25" l="1"/>
  <c r="C129" i="26"/>
  <c r="G129" i="26" s="1"/>
  <c r="F129" i="26" s="1"/>
  <c r="H129" i="26" s="1"/>
  <c r="I128" i="26"/>
  <c r="C112" i="27"/>
  <c r="I111" i="27"/>
  <c r="E112" i="27"/>
  <c r="H149" i="25"/>
  <c r="O27" i="25"/>
  <c r="M27" i="25" l="1"/>
  <c r="C130" i="26"/>
  <c r="G130" i="26" s="1"/>
  <c r="F130" i="26" s="1"/>
  <c r="I129" i="26"/>
  <c r="G112" i="27"/>
  <c r="F112" i="27" s="1"/>
  <c r="D149" i="25"/>
  <c r="C150" i="25"/>
  <c r="H112" i="27" l="1"/>
  <c r="E113" i="27" s="1"/>
  <c r="E150" i="25"/>
  <c r="G150" i="25" s="1"/>
  <c r="I149" i="25"/>
  <c r="H130" i="26"/>
  <c r="E131" i="26" s="1"/>
  <c r="F150" i="25" l="1"/>
  <c r="H150" i="25" s="1"/>
  <c r="C131" i="26"/>
  <c r="G131" i="26" s="1"/>
  <c r="F131" i="26" s="1"/>
  <c r="H131" i="26" s="1"/>
  <c r="I130" i="26"/>
  <c r="C113" i="27"/>
  <c r="G113" i="27" s="1"/>
  <c r="F113" i="27" s="1"/>
  <c r="H113" i="27" s="1"/>
  <c r="I112" i="27"/>
  <c r="N24" i="27"/>
  <c r="P24" i="27" l="1"/>
  <c r="C132" i="26"/>
  <c r="I131" i="26"/>
  <c r="E132" i="26"/>
  <c r="C151" i="25"/>
  <c r="G151" i="25" s="1"/>
  <c r="F151" i="25" s="1"/>
  <c r="H151" i="25" s="1"/>
  <c r="E152" i="25" s="1"/>
  <c r="I150" i="25"/>
  <c r="D113" i="27"/>
  <c r="C114" i="27"/>
  <c r="O24" i="27"/>
  <c r="G132" i="26" l="1"/>
  <c r="F132" i="26" s="1"/>
  <c r="H132" i="26" s="1"/>
  <c r="M24" i="27"/>
  <c r="C152" i="25"/>
  <c r="G152" i="25" s="1"/>
  <c r="F152" i="25" s="1"/>
  <c r="H152" i="25" s="1"/>
  <c r="I151" i="25"/>
  <c r="E114" i="27"/>
  <c r="G114" i="27" s="1"/>
  <c r="I113" i="27"/>
  <c r="C153" i="25" l="1"/>
  <c r="I152" i="25"/>
  <c r="E153" i="25"/>
  <c r="F114" i="27"/>
  <c r="H114" i="27" s="1"/>
  <c r="C133" i="26"/>
  <c r="G133" i="26" s="1"/>
  <c r="F133" i="26" s="1"/>
  <c r="I132" i="26"/>
  <c r="C115" i="27" l="1"/>
  <c r="I114" i="27"/>
  <c r="E115" i="27"/>
  <c r="H133" i="26"/>
  <c r="G153" i="25"/>
  <c r="F153" i="25" s="1"/>
  <c r="H153" i="25" l="1"/>
  <c r="C134" i="26"/>
  <c r="G134" i="26" s="1"/>
  <c r="F134" i="26" s="1"/>
  <c r="H134" i="26" s="1"/>
  <c r="I133" i="26"/>
  <c r="G115" i="27"/>
  <c r="F115" i="27" s="1"/>
  <c r="H115" i="27" l="1"/>
  <c r="C135" i="26"/>
  <c r="G135" i="26" s="1"/>
  <c r="F135" i="26" s="1"/>
  <c r="H135" i="26" s="1"/>
  <c r="I134" i="26"/>
  <c r="C154" i="25"/>
  <c r="G154" i="25" s="1"/>
  <c r="F154" i="25" s="1"/>
  <c r="I153" i="25"/>
  <c r="C136" i="26" l="1"/>
  <c r="G136" i="26" s="1"/>
  <c r="F136" i="26" s="1"/>
  <c r="H136" i="26" s="1"/>
  <c r="E137" i="26" s="1"/>
  <c r="I135" i="26"/>
  <c r="H154" i="25"/>
  <c r="E155" i="25" s="1"/>
  <c r="C116" i="27"/>
  <c r="I115" i="27"/>
  <c r="E116" i="27"/>
  <c r="G116" i="27" l="1"/>
  <c r="F116" i="27" s="1"/>
  <c r="C137" i="26"/>
  <c r="G137" i="26" s="1"/>
  <c r="F137" i="26" s="1"/>
  <c r="H137" i="26" s="1"/>
  <c r="I136" i="26"/>
  <c r="C155" i="25"/>
  <c r="G155" i="25" s="1"/>
  <c r="F155" i="25" s="1"/>
  <c r="I154" i="25"/>
  <c r="M5" i="3" a="1"/>
  <c r="N26" i="26"/>
  <c r="M5" i="3" l="1"/>
  <c r="P26" i="26"/>
  <c r="H116" i="27"/>
  <c r="D137" i="26"/>
  <c r="C138" i="26"/>
  <c r="H155" i="25"/>
  <c r="O26" i="26"/>
  <c r="M8" i="3"/>
  <c r="M9" i="3" l="1"/>
  <c r="M23" i="3" s="1"/>
  <c r="N14" i="12" s="1"/>
  <c r="M26" i="26"/>
  <c r="C156" i="25"/>
  <c r="I155" i="25"/>
  <c r="E156" i="25"/>
  <c r="C117" i="27"/>
  <c r="I116" i="27"/>
  <c r="E117" i="27"/>
  <c r="E138" i="26"/>
  <c r="G138" i="26" s="1"/>
  <c r="I137" i="26"/>
  <c r="G117" i="27" l="1"/>
  <c r="F117" i="27" s="1"/>
  <c r="G156" i="25"/>
  <c r="F156" i="25" s="1"/>
  <c r="H156" i="25" s="1"/>
  <c r="F138" i="26"/>
  <c r="H138" i="26" l="1"/>
  <c r="C157" i="25"/>
  <c r="G157" i="25" s="1"/>
  <c r="F157" i="25" s="1"/>
  <c r="H157" i="25" s="1"/>
  <c r="E158" i="25" s="1"/>
  <c r="I156" i="25"/>
  <c r="H117" i="27"/>
  <c r="C118" i="27" l="1"/>
  <c r="I117" i="27"/>
  <c r="E118" i="27"/>
  <c r="C158" i="25"/>
  <c r="G158" i="25" s="1"/>
  <c r="F158" i="25" s="1"/>
  <c r="I157" i="25"/>
  <c r="C139" i="26"/>
  <c r="G139" i="26" s="1"/>
  <c r="F139" i="26" s="1"/>
  <c r="H139" i="26" s="1"/>
  <c r="I138" i="26"/>
  <c r="C140" i="26" l="1"/>
  <c r="G140" i="26" s="1"/>
  <c r="F140" i="26" s="1"/>
  <c r="H140" i="26" s="1"/>
  <c r="I139" i="26"/>
  <c r="H158" i="25"/>
  <c r="G118" i="27"/>
  <c r="F118" i="27" s="1"/>
  <c r="H118" i="27" l="1"/>
  <c r="C141" i="26"/>
  <c r="G141" i="26" s="1"/>
  <c r="F141" i="26" s="1"/>
  <c r="I140" i="26"/>
  <c r="C159" i="25"/>
  <c r="I158" i="25"/>
  <c r="E159" i="25"/>
  <c r="G159" i="25" l="1"/>
  <c r="F159" i="25" s="1"/>
  <c r="H159" i="25" s="1"/>
  <c r="H141" i="26"/>
  <c r="C119" i="27"/>
  <c r="I118" i="27"/>
  <c r="E119" i="27"/>
  <c r="C160" i="25" l="1"/>
  <c r="G160" i="25" s="1"/>
  <c r="F160" i="25" s="1"/>
  <c r="I159" i="25"/>
  <c r="C142" i="26"/>
  <c r="G142" i="26" s="1"/>
  <c r="F142" i="26" s="1"/>
  <c r="I141" i="26"/>
  <c r="G119" i="27"/>
  <c r="F119" i="27" s="1"/>
  <c r="H119" i="27" l="1"/>
  <c r="H142" i="26"/>
  <c r="E143" i="26" s="1"/>
  <c r="H160" i="25"/>
  <c r="E161" i="25" s="1"/>
  <c r="C161" i="25" l="1"/>
  <c r="G161" i="25" s="1"/>
  <c r="F161" i="25" s="1"/>
  <c r="H161" i="25" s="1"/>
  <c r="I160" i="25"/>
  <c r="C143" i="26"/>
  <c r="G143" i="26" s="1"/>
  <c r="F143" i="26" s="1"/>
  <c r="H143" i="26" s="1"/>
  <c r="I142" i="26"/>
  <c r="C120" i="27"/>
  <c r="I119" i="27"/>
  <c r="E120" i="27"/>
  <c r="N28" i="25"/>
  <c r="P28" i="25" l="1"/>
  <c r="G120" i="27"/>
  <c r="F120" i="27" s="1"/>
  <c r="C144" i="26"/>
  <c r="I143" i="26"/>
  <c r="E144" i="26"/>
  <c r="C162" i="25"/>
  <c r="D161" i="25"/>
  <c r="O28" i="25"/>
  <c r="M28" i="25" l="1"/>
  <c r="H120" i="27"/>
  <c r="G144" i="26"/>
  <c r="F144" i="26" s="1"/>
  <c r="E162" i="25"/>
  <c r="I161" i="25"/>
  <c r="H144" i="26" l="1"/>
  <c r="G162" i="25"/>
  <c r="F162" i="25" s="1"/>
  <c r="C121" i="27"/>
  <c r="I120" i="27"/>
  <c r="E121" i="27"/>
  <c r="H162" i="25" l="1"/>
  <c r="G121" i="27"/>
  <c r="F121" i="27" s="1"/>
  <c r="C145" i="26"/>
  <c r="G145" i="26" s="1"/>
  <c r="F145" i="26" s="1"/>
  <c r="I144" i="26"/>
  <c r="H121" i="27" l="1"/>
  <c r="H145" i="26"/>
  <c r="C163" i="25"/>
  <c r="G163" i="25" s="1"/>
  <c r="F163" i="25" s="1"/>
  <c r="I162" i="25"/>
  <c r="H163" i="25" l="1"/>
  <c r="E164" i="25" s="1"/>
  <c r="C146" i="26"/>
  <c r="G146" i="26" s="1"/>
  <c r="F146" i="26" s="1"/>
  <c r="H146" i="26" s="1"/>
  <c r="I145" i="26"/>
  <c r="C122" i="27"/>
  <c r="I121" i="27"/>
  <c r="E122" i="27"/>
  <c r="G122" i="27" l="1"/>
  <c r="F122" i="27" s="1"/>
  <c r="H122" i="27" s="1"/>
  <c r="C147" i="26"/>
  <c r="G147" i="26" s="1"/>
  <c r="F147" i="26" s="1"/>
  <c r="H147" i="26" s="1"/>
  <c r="I146" i="26"/>
  <c r="C164" i="25"/>
  <c r="G164" i="25" s="1"/>
  <c r="F164" i="25" s="1"/>
  <c r="I163" i="25"/>
  <c r="C148" i="26" l="1"/>
  <c r="G148" i="26" s="1"/>
  <c r="F148" i="26" s="1"/>
  <c r="H148" i="26" s="1"/>
  <c r="E149" i="26" s="1"/>
  <c r="I147" i="26"/>
  <c r="C123" i="27"/>
  <c r="I122" i="27"/>
  <c r="E123" i="27"/>
  <c r="H164" i="25"/>
  <c r="C149" i="26" l="1"/>
  <c r="G149" i="26" s="1"/>
  <c r="F149" i="26" s="1"/>
  <c r="I148" i="26"/>
  <c r="C165" i="25"/>
  <c r="I164" i="25"/>
  <c r="E165" i="25"/>
  <c r="G123" i="27"/>
  <c r="F123" i="27" s="1"/>
  <c r="H123" i="27" s="1"/>
  <c r="N27" i="26"/>
  <c r="N5" i="3" a="1"/>
  <c r="N5" i="3" l="1"/>
  <c r="P27" i="26"/>
  <c r="G165" i="25"/>
  <c r="F165" i="25" s="1"/>
  <c r="C124" i="27"/>
  <c r="I123" i="27"/>
  <c r="E124" i="27"/>
  <c r="H149" i="26"/>
  <c r="N8" i="3"/>
  <c r="O27" i="26"/>
  <c r="N9" i="3" l="1"/>
  <c r="N23" i="3" s="1"/>
  <c r="N15" i="12" s="1"/>
  <c r="M27" i="26"/>
  <c r="H165" i="25"/>
  <c r="D149" i="26"/>
  <c r="C150" i="26"/>
  <c r="G124" i="27"/>
  <c r="F124" i="27" s="1"/>
  <c r="H124" i="27" s="1"/>
  <c r="E125" i="27" s="1"/>
  <c r="C125" i="27" l="1"/>
  <c r="G125" i="27" s="1"/>
  <c r="F125" i="27" s="1"/>
  <c r="H125" i="27" s="1"/>
  <c r="I124" i="27"/>
  <c r="E150" i="26"/>
  <c r="I149" i="26"/>
  <c r="C166" i="25"/>
  <c r="G166" i="25" s="1"/>
  <c r="F166" i="25" s="1"/>
  <c r="H166" i="25" s="1"/>
  <c r="E167" i="25" s="1"/>
  <c r="I165" i="25"/>
  <c r="N25" i="27"/>
  <c r="P25" i="27" l="1"/>
  <c r="D125" i="27"/>
  <c r="C126" i="27"/>
  <c r="C167" i="25"/>
  <c r="G167" i="25" s="1"/>
  <c r="F167" i="25" s="1"/>
  <c r="H167" i="25" s="1"/>
  <c r="I166" i="25"/>
  <c r="G150" i="26"/>
  <c r="F150" i="26" s="1"/>
  <c r="O25" i="27"/>
  <c r="M25" i="27" l="1"/>
  <c r="C168" i="25"/>
  <c r="I167" i="25"/>
  <c r="E168" i="25"/>
  <c r="H150" i="26"/>
  <c r="E126" i="27"/>
  <c r="I125" i="27"/>
  <c r="G126" i="27" l="1"/>
  <c r="F126" i="27" s="1"/>
  <c r="C151" i="26"/>
  <c r="G151" i="26" s="1"/>
  <c r="F151" i="26" s="1"/>
  <c r="I150" i="26"/>
  <c r="G168" i="25"/>
  <c r="F168" i="25" s="1"/>
  <c r="H168" i="25" l="1"/>
  <c r="H126" i="27"/>
  <c r="H151" i="26"/>
  <c r="C152" i="26" l="1"/>
  <c r="G152" i="26" s="1"/>
  <c r="F152" i="26" s="1"/>
  <c r="H152" i="26" s="1"/>
  <c r="I151" i="26"/>
  <c r="C127" i="27"/>
  <c r="I126" i="27"/>
  <c r="E127" i="27"/>
  <c r="C169" i="25"/>
  <c r="G169" i="25" s="1"/>
  <c r="F169" i="25" s="1"/>
  <c r="H169" i="25" s="1"/>
  <c r="E170" i="25" s="1"/>
  <c r="I168" i="25"/>
  <c r="C170" i="25" l="1"/>
  <c r="G170" i="25" s="1"/>
  <c r="F170" i="25" s="1"/>
  <c r="I169" i="25"/>
  <c r="G127" i="27"/>
  <c r="F127" i="27" s="1"/>
  <c r="C153" i="26"/>
  <c r="G153" i="26" s="1"/>
  <c r="F153" i="26" s="1"/>
  <c r="H153" i="26" s="1"/>
  <c r="I152" i="26"/>
  <c r="H127" i="27" l="1"/>
  <c r="C154" i="26"/>
  <c r="G154" i="26" s="1"/>
  <c r="F154" i="26" s="1"/>
  <c r="I153" i="26"/>
  <c r="H170" i="25"/>
  <c r="C171" i="25" l="1"/>
  <c r="I170" i="25"/>
  <c r="E171" i="25"/>
  <c r="H154" i="26"/>
  <c r="E155" i="26" s="1"/>
  <c r="C128" i="27"/>
  <c r="I127" i="27"/>
  <c r="E128" i="27"/>
  <c r="G128" i="27" l="1"/>
  <c r="F128" i="27" s="1"/>
  <c r="H128" i="27" s="1"/>
  <c r="C155" i="26"/>
  <c r="G155" i="26" s="1"/>
  <c r="F155" i="26" s="1"/>
  <c r="H155" i="26" s="1"/>
  <c r="I154" i="26"/>
  <c r="G171" i="25"/>
  <c r="F171" i="25" s="1"/>
  <c r="H171" i="25" s="1"/>
  <c r="C156" i="26" l="1"/>
  <c r="I155" i="26"/>
  <c r="E156" i="26"/>
  <c r="C172" i="25"/>
  <c r="G172" i="25" s="1"/>
  <c r="F172" i="25" s="1"/>
  <c r="I171" i="25"/>
  <c r="C129" i="27"/>
  <c r="I128" i="27"/>
  <c r="E129" i="27"/>
  <c r="H172" i="25" l="1"/>
  <c r="E173" i="25" s="1"/>
  <c r="G129" i="27"/>
  <c r="F129" i="27" s="1"/>
  <c r="G156" i="26"/>
  <c r="F156" i="26" s="1"/>
  <c r="H129" i="27" l="1"/>
  <c r="H156" i="26"/>
  <c r="C173" i="25"/>
  <c r="G173" i="25" s="1"/>
  <c r="F173" i="25" s="1"/>
  <c r="H173" i="25" s="1"/>
  <c r="I172" i="25"/>
  <c r="N29" i="25"/>
  <c r="P29" i="25" l="1"/>
  <c r="C174" i="25"/>
  <c r="D173" i="25"/>
  <c r="C157" i="26"/>
  <c r="G157" i="26" s="1"/>
  <c r="F157" i="26" s="1"/>
  <c r="H157" i="26" s="1"/>
  <c r="I156" i="26"/>
  <c r="C130" i="27"/>
  <c r="I129" i="27"/>
  <c r="E130" i="27"/>
  <c r="O29" i="25"/>
  <c r="M29" i="25" l="1"/>
  <c r="C158" i="26"/>
  <c r="G158" i="26" s="1"/>
  <c r="F158" i="26" s="1"/>
  <c r="I157" i="26"/>
  <c r="E174" i="25"/>
  <c r="I173" i="25"/>
  <c r="G130" i="27"/>
  <c r="F130" i="27" s="1"/>
  <c r="H130" i="27" l="1"/>
  <c r="G174" i="25"/>
  <c r="F174" i="25" s="1"/>
  <c r="H158" i="26"/>
  <c r="H174" i="25" l="1"/>
  <c r="C159" i="26"/>
  <c r="G159" i="26" s="1"/>
  <c r="F159" i="26" s="1"/>
  <c r="H159" i="26" s="1"/>
  <c r="I158" i="26"/>
  <c r="C131" i="27"/>
  <c r="I130" i="27"/>
  <c r="E131" i="27"/>
  <c r="G131" i="27" l="1"/>
  <c r="F131" i="27" s="1"/>
  <c r="H131" i="27" s="1"/>
  <c r="C160" i="26"/>
  <c r="G160" i="26" s="1"/>
  <c r="F160" i="26" s="1"/>
  <c r="I159" i="26"/>
  <c r="C175" i="25"/>
  <c r="G175" i="25" s="1"/>
  <c r="F175" i="25" s="1"/>
  <c r="I174" i="25"/>
  <c r="C132" i="27" l="1"/>
  <c r="I131" i="27"/>
  <c r="E132" i="27"/>
  <c r="H175" i="25"/>
  <c r="E176" i="25" s="1"/>
  <c r="H160" i="26"/>
  <c r="E161" i="26" s="1"/>
  <c r="C161" i="26" l="1"/>
  <c r="G161" i="26" s="1"/>
  <c r="F161" i="26" s="1"/>
  <c r="H161" i="26" s="1"/>
  <c r="I160" i="26"/>
  <c r="C176" i="25"/>
  <c r="G176" i="25" s="1"/>
  <c r="F176" i="25" s="1"/>
  <c r="H176" i="25" s="1"/>
  <c r="I175" i="25"/>
  <c r="G132" i="27"/>
  <c r="F132" i="27" s="1"/>
  <c r="H132" i="27" s="1"/>
  <c r="N28" i="26"/>
  <c r="O5" i="3" a="1"/>
  <c r="O5" i="3" l="1"/>
  <c r="P28" i="26"/>
  <c r="C133" i="27"/>
  <c r="I132" i="27"/>
  <c r="E133" i="27"/>
  <c r="C177" i="25"/>
  <c r="I176" i="25"/>
  <c r="E177" i="25"/>
  <c r="C162" i="26"/>
  <c r="D161" i="26"/>
  <c r="O8" i="3"/>
  <c r="O28" i="26"/>
  <c r="G177" i="25" l="1"/>
  <c r="F177" i="25" s="1"/>
  <c r="H177" i="25" s="1"/>
  <c r="O9" i="3"/>
  <c r="O23" i="3" s="1"/>
  <c r="N16" i="12" s="1"/>
  <c r="M28" i="26"/>
  <c r="G133" i="27"/>
  <c r="F133" i="27" s="1"/>
  <c r="E162" i="26"/>
  <c r="I161" i="26"/>
  <c r="H133" i="27" l="1"/>
  <c r="G162" i="26"/>
  <c r="F162" i="26" s="1"/>
  <c r="C178" i="25"/>
  <c r="G178" i="25" s="1"/>
  <c r="F178" i="25" s="1"/>
  <c r="I177" i="25"/>
  <c r="H162" i="26" l="1"/>
  <c r="H178" i="25"/>
  <c r="E179" i="25" s="1"/>
  <c r="C134" i="27"/>
  <c r="I133" i="27"/>
  <c r="E134" i="27"/>
  <c r="G134" i="27" l="1"/>
  <c r="F134" i="27" s="1"/>
  <c r="H134" i="27" s="1"/>
  <c r="C179" i="25"/>
  <c r="G179" i="25" s="1"/>
  <c r="F179" i="25" s="1"/>
  <c r="I178" i="25"/>
  <c r="C163" i="26"/>
  <c r="G163" i="26" s="1"/>
  <c r="F163" i="26" s="1"/>
  <c r="I162" i="26"/>
  <c r="H163" i="26" l="1"/>
  <c r="H179" i="25"/>
  <c r="C135" i="27"/>
  <c r="I134" i="27"/>
  <c r="E135" i="27"/>
  <c r="G135" i="27" l="1"/>
  <c r="F135" i="27" s="1"/>
  <c r="C180" i="25"/>
  <c r="I179" i="25"/>
  <c r="E180" i="25"/>
  <c r="C164" i="26"/>
  <c r="G164" i="26" s="1"/>
  <c r="F164" i="26" s="1"/>
  <c r="I163" i="26"/>
  <c r="H135" i="27" l="1"/>
  <c r="H164" i="26"/>
  <c r="G180" i="25"/>
  <c r="F180" i="25" s="1"/>
  <c r="H180" i="25" l="1"/>
  <c r="C165" i="26"/>
  <c r="G165" i="26" s="1"/>
  <c r="F165" i="26" s="1"/>
  <c r="H165" i="26" s="1"/>
  <c r="I164" i="26"/>
  <c r="C136" i="27"/>
  <c r="I135" i="27"/>
  <c r="E136" i="27"/>
  <c r="C166" i="26" l="1"/>
  <c r="G166" i="26" s="1"/>
  <c r="F166" i="26" s="1"/>
  <c r="H166" i="26" s="1"/>
  <c r="E167" i="26" s="1"/>
  <c r="I165" i="26"/>
  <c r="G136" i="27"/>
  <c r="F136" i="27" s="1"/>
  <c r="C181" i="25"/>
  <c r="G181" i="25" s="1"/>
  <c r="F181" i="25" s="1"/>
  <c r="H181" i="25" s="1"/>
  <c r="E182" i="25" s="1"/>
  <c r="I180" i="25"/>
  <c r="H136" i="27" l="1"/>
  <c r="E137" i="27" s="1"/>
  <c r="C182" i="25"/>
  <c r="G182" i="25" s="1"/>
  <c r="F182" i="25" s="1"/>
  <c r="H182" i="25" s="1"/>
  <c r="I181" i="25"/>
  <c r="C167" i="26"/>
  <c r="G167" i="26" s="1"/>
  <c r="F167" i="26" s="1"/>
  <c r="I166" i="26"/>
  <c r="C183" i="25" l="1"/>
  <c r="I182" i="25"/>
  <c r="E183" i="25"/>
  <c r="H167" i="26"/>
  <c r="C137" i="27"/>
  <c r="G137" i="27" s="1"/>
  <c r="F137" i="27" s="1"/>
  <c r="H137" i="27" s="1"/>
  <c r="I136" i="27"/>
  <c r="N26" i="27"/>
  <c r="P26" i="27" l="1"/>
  <c r="C168" i="26"/>
  <c r="I167" i="26"/>
  <c r="E168" i="26"/>
  <c r="D137" i="27"/>
  <c r="C138" i="27"/>
  <c r="G183" i="25"/>
  <c r="F183" i="25" s="1"/>
  <c r="H183" i="25" s="1"/>
  <c r="O26" i="27"/>
  <c r="M26" i="27" l="1"/>
  <c r="C184" i="25"/>
  <c r="G184" i="25" s="1"/>
  <c r="F184" i="25" s="1"/>
  <c r="H184" i="25" s="1"/>
  <c r="E185" i="25" s="1"/>
  <c r="I183" i="25"/>
  <c r="G168" i="26"/>
  <c r="F168" i="26" s="1"/>
  <c r="H168" i="26" s="1"/>
  <c r="E138" i="27"/>
  <c r="I137" i="27"/>
  <c r="C169" i="26" l="1"/>
  <c r="G169" i="26" s="1"/>
  <c r="F169" i="26" s="1"/>
  <c r="I168" i="26"/>
  <c r="G138" i="27"/>
  <c r="F138" i="27" s="1"/>
  <c r="C185" i="25"/>
  <c r="G185" i="25" s="1"/>
  <c r="F185" i="25" s="1"/>
  <c r="I184" i="25"/>
  <c r="N30" i="25"/>
  <c r="P30" i="25" l="1"/>
  <c r="H138" i="27"/>
  <c r="H185" i="25"/>
  <c r="H169" i="26"/>
  <c r="O30" i="25"/>
  <c r="M30" i="25" l="1"/>
  <c r="D185" i="25"/>
  <c r="C186" i="25"/>
  <c r="C139" i="27"/>
  <c r="I138" i="27"/>
  <c r="E139" i="27"/>
  <c r="C170" i="26"/>
  <c r="G170" i="26" s="1"/>
  <c r="F170" i="26" s="1"/>
  <c r="H170" i="26" s="1"/>
  <c r="I169" i="26"/>
  <c r="C171" i="26" l="1"/>
  <c r="G171" i="26" s="1"/>
  <c r="F171" i="26" s="1"/>
  <c r="I170" i="26"/>
  <c r="G139" i="27"/>
  <c r="F139" i="27" s="1"/>
  <c r="E186" i="25"/>
  <c r="G186" i="25" s="1"/>
  <c r="I185" i="25"/>
  <c r="H139" i="27" l="1"/>
  <c r="F186" i="25"/>
  <c r="H186" i="25" s="1"/>
  <c r="H171" i="26"/>
  <c r="C172" i="26" l="1"/>
  <c r="G172" i="26" s="1"/>
  <c r="F172" i="26" s="1"/>
  <c r="H172" i="26" s="1"/>
  <c r="E173" i="26" s="1"/>
  <c r="I171" i="26"/>
  <c r="C187" i="25"/>
  <c r="G187" i="25" s="1"/>
  <c r="F187" i="25" s="1"/>
  <c r="I186" i="25"/>
  <c r="C140" i="27"/>
  <c r="I139" i="27"/>
  <c r="E140" i="27"/>
  <c r="C173" i="26" l="1"/>
  <c r="G173" i="26" s="1"/>
  <c r="F173" i="26" s="1"/>
  <c r="I172" i="26"/>
  <c r="G140" i="27"/>
  <c r="F140" i="27" s="1"/>
  <c r="H187" i="25"/>
  <c r="E188" i="25" s="1"/>
  <c r="P5" i="3" a="1"/>
  <c r="N29" i="26"/>
  <c r="P5" i="3" l="1"/>
  <c r="P29" i="26"/>
  <c r="H140" i="27"/>
  <c r="C188" i="25"/>
  <c r="G188" i="25" s="1"/>
  <c r="F188" i="25" s="1"/>
  <c r="H188" i="25" s="1"/>
  <c r="I187" i="25"/>
  <c r="H173" i="26"/>
  <c r="O29" i="26"/>
  <c r="P8" i="3"/>
  <c r="P9" i="3" l="1"/>
  <c r="P23" i="3" s="1"/>
  <c r="N17" i="12" s="1"/>
  <c r="M29" i="26"/>
  <c r="C189" i="25"/>
  <c r="I188" i="25"/>
  <c r="E189" i="25"/>
  <c r="C141" i="27"/>
  <c r="I140" i="27"/>
  <c r="E141" i="27"/>
  <c r="D173" i="26"/>
  <c r="C174" i="26"/>
  <c r="G141" i="27" l="1"/>
  <c r="F141" i="27" s="1"/>
  <c r="G189" i="25"/>
  <c r="F189" i="25" s="1"/>
  <c r="E174" i="26"/>
  <c r="G174" i="26" s="1"/>
  <c r="I173" i="26"/>
  <c r="H189" i="25" l="1"/>
  <c r="F174" i="26"/>
  <c r="H174" i="26" s="1"/>
  <c r="H141" i="27"/>
  <c r="C175" i="26" l="1"/>
  <c r="G175" i="26" s="1"/>
  <c r="F175" i="26" s="1"/>
  <c r="I174" i="26"/>
  <c r="C142" i="27"/>
  <c r="I141" i="27"/>
  <c r="E142" i="27"/>
  <c r="C190" i="25"/>
  <c r="G190" i="25" s="1"/>
  <c r="F190" i="25" s="1"/>
  <c r="H190" i="25" s="1"/>
  <c r="E191" i="25" s="1"/>
  <c r="I189" i="25"/>
  <c r="C191" i="25" l="1"/>
  <c r="G191" i="25" s="1"/>
  <c r="F191" i="25" s="1"/>
  <c r="H191" i="25" s="1"/>
  <c r="I190" i="25"/>
  <c r="G142" i="27"/>
  <c r="F142" i="27" s="1"/>
  <c r="H175" i="26"/>
  <c r="H142" i="27" l="1"/>
  <c r="C192" i="25"/>
  <c r="I191" i="25"/>
  <c r="E192" i="25"/>
  <c r="C176" i="26"/>
  <c r="G176" i="26" s="1"/>
  <c r="F176" i="26" s="1"/>
  <c r="H176" i="26" s="1"/>
  <c r="I175" i="26"/>
  <c r="C177" i="26" l="1"/>
  <c r="G177" i="26" s="1"/>
  <c r="F177" i="26" s="1"/>
  <c r="I176" i="26"/>
  <c r="G192" i="25"/>
  <c r="F192" i="25" s="1"/>
  <c r="C143" i="27"/>
  <c r="I142" i="27"/>
  <c r="E143" i="27"/>
  <c r="H192" i="25" l="1"/>
  <c r="G143" i="27"/>
  <c r="F143" i="27" s="1"/>
  <c r="H143" i="27" s="1"/>
  <c r="H177" i="26"/>
  <c r="C178" i="26" l="1"/>
  <c r="G178" i="26" s="1"/>
  <c r="F178" i="26" s="1"/>
  <c r="H178" i="26" s="1"/>
  <c r="E179" i="26" s="1"/>
  <c r="I177" i="26"/>
  <c r="C144" i="27"/>
  <c r="I143" i="27"/>
  <c r="E144" i="27"/>
  <c r="C193" i="25"/>
  <c r="G193" i="25" s="1"/>
  <c r="F193" i="25" s="1"/>
  <c r="H193" i="25" s="1"/>
  <c r="E194" i="25" s="1"/>
  <c r="I192" i="25"/>
  <c r="C194" i="25" l="1"/>
  <c r="G194" i="25" s="1"/>
  <c r="F194" i="25" s="1"/>
  <c r="I193" i="25"/>
  <c r="C179" i="26"/>
  <c r="G179" i="26" s="1"/>
  <c r="F179" i="26" s="1"/>
  <c r="I178" i="26"/>
  <c r="G144" i="27"/>
  <c r="F144" i="27" s="1"/>
  <c r="H144" i="27" l="1"/>
  <c r="H179" i="26"/>
  <c r="H194" i="25"/>
  <c r="C195" i="25" l="1"/>
  <c r="I194" i="25"/>
  <c r="E195" i="25"/>
  <c r="C180" i="26"/>
  <c r="I179" i="26"/>
  <c r="E180" i="26"/>
  <c r="C145" i="27"/>
  <c r="I144" i="27"/>
  <c r="E145" i="27"/>
  <c r="G145" i="27" l="1"/>
  <c r="F145" i="27" s="1"/>
  <c r="G180" i="26"/>
  <c r="F180" i="26" s="1"/>
  <c r="G195" i="25"/>
  <c r="F195" i="25" s="1"/>
  <c r="H195" i="25" s="1"/>
  <c r="H180" i="26" l="1"/>
  <c r="C196" i="25"/>
  <c r="G196" i="25" s="1"/>
  <c r="F196" i="25" s="1"/>
  <c r="I195" i="25"/>
  <c r="H145" i="27"/>
  <c r="C146" i="27" l="1"/>
  <c r="I145" i="27"/>
  <c r="E146" i="27"/>
  <c r="H196" i="25"/>
  <c r="E197" i="25" s="1"/>
  <c r="C181" i="26"/>
  <c r="G181" i="26" s="1"/>
  <c r="F181" i="26" s="1"/>
  <c r="H181" i="26" s="1"/>
  <c r="I180" i="26"/>
  <c r="C197" i="25" l="1"/>
  <c r="G197" i="25" s="1"/>
  <c r="F197" i="25" s="1"/>
  <c r="H197" i="25" s="1"/>
  <c r="I196" i="25"/>
  <c r="C182" i="26"/>
  <c r="G182" i="26" s="1"/>
  <c r="F182" i="26" s="1"/>
  <c r="H182" i="26" s="1"/>
  <c r="I181" i="26"/>
  <c r="G146" i="27"/>
  <c r="F146" i="27" s="1"/>
  <c r="N31" i="25"/>
  <c r="P31" i="25" l="1"/>
  <c r="H146" i="27"/>
  <c r="C183" i="26"/>
  <c r="G183" i="26" s="1"/>
  <c r="F183" i="26" s="1"/>
  <c r="H183" i="26" s="1"/>
  <c r="I182" i="26"/>
  <c r="C198" i="25"/>
  <c r="D197" i="25"/>
  <c r="O31" i="25"/>
  <c r="M31" i="25" l="1"/>
  <c r="C184" i="26"/>
  <c r="G184" i="26" s="1"/>
  <c r="F184" i="26" s="1"/>
  <c r="H184" i="26" s="1"/>
  <c r="E185" i="26" s="1"/>
  <c r="I183" i="26"/>
  <c r="C147" i="27"/>
  <c r="I146" i="27"/>
  <c r="E147" i="27"/>
  <c r="E198" i="25"/>
  <c r="G198" i="25" s="1"/>
  <c r="I197" i="25"/>
  <c r="G147" i="27" l="1"/>
  <c r="F147" i="27" s="1"/>
  <c r="H147" i="27" s="1"/>
  <c r="F198" i="25"/>
  <c r="H198" i="25" s="1"/>
  <c r="C185" i="26"/>
  <c r="G185" i="26" s="1"/>
  <c r="F185" i="26" s="1"/>
  <c r="H185" i="26" s="1"/>
  <c r="I184" i="26"/>
  <c r="N30" i="26"/>
  <c r="Q5" i="3" a="1"/>
  <c r="Q5" i="3" l="1"/>
  <c r="P30" i="26"/>
  <c r="C199" i="25"/>
  <c r="G199" i="25" s="1"/>
  <c r="F199" i="25" s="1"/>
  <c r="H199" i="25" s="1"/>
  <c r="E200" i="25" s="1"/>
  <c r="I198" i="25"/>
  <c r="C148" i="27"/>
  <c r="I147" i="27"/>
  <c r="E148" i="27"/>
  <c r="D185" i="26"/>
  <c r="C186" i="26"/>
  <c r="Q8" i="3"/>
  <c r="O30" i="26"/>
  <c r="Q9" i="3" l="1"/>
  <c r="Q23" i="3" s="1"/>
  <c r="N18" i="12" s="1"/>
  <c r="M30" i="26"/>
  <c r="C200" i="25"/>
  <c r="G200" i="25" s="1"/>
  <c r="F200" i="25" s="1"/>
  <c r="H200" i="25" s="1"/>
  <c r="I199" i="25"/>
  <c r="G148" i="27"/>
  <c r="F148" i="27" s="1"/>
  <c r="E186" i="26"/>
  <c r="I185" i="26"/>
  <c r="H148" i="27" l="1"/>
  <c r="E149" i="27" s="1"/>
  <c r="C201" i="25"/>
  <c r="I200" i="25"/>
  <c r="E201" i="25"/>
  <c r="G186" i="26"/>
  <c r="F186" i="26" s="1"/>
  <c r="H186" i="26" l="1"/>
  <c r="G201" i="25"/>
  <c r="F201" i="25" s="1"/>
  <c r="H201" i="25" s="1"/>
  <c r="C149" i="27"/>
  <c r="G149" i="27" s="1"/>
  <c r="F149" i="27" s="1"/>
  <c r="H149" i="27" s="1"/>
  <c r="I148" i="27"/>
  <c r="N27" i="27"/>
  <c r="P27" i="27" l="1"/>
  <c r="D149" i="27"/>
  <c r="C150" i="27"/>
  <c r="C202" i="25"/>
  <c r="G202" i="25" s="1"/>
  <c r="F202" i="25" s="1"/>
  <c r="I201" i="25"/>
  <c r="C187" i="26"/>
  <c r="G187" i="26" s="1"/>
  <c r="F187" i="26" s="1"/>
  <c r="H187" i="26" s="1"/>
  <c r="I186" i="26"/>
  <c r="O27" i="27"/>
  <c r="M27" i="27" l="1"/>
  <c r="C188" i="26"/>
  <c r="G188" i="26" s="1"/>
  <c r="F188" i="26" s="1"/>
  <c r="I187" i="26"/>
  <c r="E150" i="27"/>
  <c r="I149" i="27"/>
  <c r="H202" i="25"/>
  <c r="E203" i="25" s="1"/>
  <c r="G150" i="27" l="1"/>
  <c r="F150" i="27" s="1"/>
  <c r="H188" i="26"/>
  <c r="C203" i="25"/>
  <c r="G203" i="25" s="1"/>
  <c r="F203" i="25" s="1"/>
  <c r="I202" i="25"/>
  <c r="H150" i="27" l="1"/>
  <c r="C189" i="26"/>
  <c r="G189" i="26" s="1"/>
  <c r="F189" i="26" s="1"/>
  <c r="H189" i="26" s="1"/>
  <c r="I188" i="26"/>
  <c r="H203" i="25"/>
  <c r="C190" i="26" l="1"/>
  <c r="G190" i="26" s="1"/>
  <c r="F190" i="26" s="1"/>
  <c r="I189" i="26"/>
  <c r="C204" i="25"/>
  <c r="I203" i="25"/>
  <c r="E204" i="25"/>
  <c r="C151" i="27"/>
  <c r="I150" i="27"/>
  <c r="E151" i="27"/>
  <c r="G151" i="27" l="1"/>
  <c r="F151" i="27" s="1"/>
  <c r="H151" i="27" s="1"/>
  <c r="G204" i="25"/>
  <c r="F204" i="25" s="1"/>
  <c r="H190" i="26"/>
  <c r="E191" i="26" s="1"/>
  <c r="H204" i="25" l="1"/>
  <c r="C191" i="26"/>
  <c r="G191" i="26" s="1"/>
  <c r="F191" i="26" s="1"/>
  <c r="H191" i="26" s="1"/>
  <c r="I190" i="26"/>
  <c r="C152" i="27"/>
  <c r="I151" i="27"/>
  <c r="E152" i="27"/>
  <c r="G152" i="27" l="1"/>
  <c r="F152" i="27" s="1"/>
  <c r="H152" i="27" s="1"/>
  <c r="C192" i="26"/>
  <c r="I191" i="26"/>
  <c r="E192" i="26"/>
  <c r="C205" i="25"/>
  <c r="G205" i="25" s="1"/>
  <c r="F205" i="25" s="1"/>
  <c r="I204" i="25"/>
  <c r="C153" i="27" l="1"/>
  <c r="I152" i="27"/>
  <c r="E153" i="27"/>
  <c r="G192" i="26"/>
  <c r="F192" i="26" s="1"/>
  <c r="H205" i="25"/>
  <c r="E206" i="25" s="1"/>
  <c r="C206" i="25" l="1"/>
  <c r="G206" i="25" s="1"/>
  <c r="F206" i="25" s="1"/>
  <c r="H206" i="25" s="1"/>
  <c r="I205" i="25"/>
  <c r="H192" i="26"/>
  <c r="G153" i="27"/>
  <c r="F153" i="27" s="1"/>
  <c r="H153" i="27" l="1"/>
  <c r="C207" i="25"/>
  <c r="I206" i="25"/>
  <c r="E207" i="25"/>
  <c r="C193" i="26"/>
  <c r="G193" i="26" s="1"/>
  <c r="F193" i="26" s="1"/>
  <c r="H193" i="26" s="1"/>
  <c r="I192" i="26"/>
  <c r="C194" i="26" l="1"/>
  <c r="G194" i="26" s="1"/>
  <c r="F194" i="26" s="1"/>
  <c r="H194" i="26" s="1"/>
  <c r="I193" i="26"/>
  <c r="G207" i="25"/>
  <c r="F207" i="25" s="1"/>
  <c r="C154" i="27"/>
  <c r="I153" i="27"/>
  <c r="E154" i="27"/>
  <c r="H207" i="25" l="1"/>
  <c r="G154" i="27"/>
  <c r="F154" i="27" s="1"/>
  <c r="C195" i="26"/>
  <c r="G195" i="26" s="1"/>
  <c r="F195" i="26" s="1"/>
  <c r="H195" i="26" s="1"/>
  <c r="I194" i="26"/>
  <c r="H154" i="27" l="1"/>
  <c r="C196" i="26"/>
  <c r="G196" i="26" s="1"/>
  <c r="F196" i="26" s="1"/>
  <c r="H196" i="26" s="1"/>
  <c r="E197" i="26" s="1"/>
  <c r="I195" i="26"/>
  <c r="C208" i="25"/>
  <c r="G208" i="25" s="1"/>
  <c r="F208" i="25" s="1"/>
  <c r="H208" i="25" s="1"/>
  <c r="E209" i="25" s="1"/>
  <c r="I207" i="25"/>
  <c r="C209" i="25" l="1"/>
  <c r="G209" i="25" s="1"/>
  <c r="F209" i="25" s="1"/>
  <c r="I208" i="25"/>
  <c r="C197" i="26"/>
  <c r="G197" i="26" s="1"/>
  <c r="F197" i="26" s="1"/>
  <c r="H197" i="26" s="1"/>
  <c r="I196" i="26"/>
  <c r="C155" i="27"/>
  <c r="I154" i="27"/>
  <c r="E155" i="27"/>
  <c r="N32" i="25"/>
  <c r="N31" i="26"/>
  <c r="R5" i="3" a="1"/>
  <c r="G155" i="27" l="1"/>
  <c r="F155" i="27" s="1"/>
  <c r="H155" i="27" s="1"/>
  <c r="R5" i="3"/>
  <c r="P31" i="26"/>
  <c r="P32" i="25"/>
  <c r="C198" i="26"/>
  <c r="D197" i="26"/>
  <c r="H209" i="25"/>
  <c r="R8" i="3"/>
  <c r="O32" i="25"/>
  <c r="O31" i="26"/>
  <c r="R9" i="3" l="1"/>
  <c r="R23" i="3" s="1"/>
  <c r="N19" i="12" s="1"/>
  <c r="M31" i="26"/>
  <c r="M32" i="25"/>
  <c r="C210" i="25"/>
  <c r="D209" i="25"/>
  <c r="C156" i="27"/>
  <c r="I155" i="27"/>
  <c r="E156" i="27"/>
  <c r="E198" i="26"/>
  <c r="I197" i="26"/>
  <c r="G156" i="27" l="1"/>
  <c r="F156" i="27" s="1"/>
  <c r="E210" i="25"/>
  <c r="I209" i="25"/>
  <c r="G198" i="26"/>
  <c r="F198" i="26" s="1"/>
  <c r="H198" i="26" s="1"/>
  <c r="C199" i="26" l="1"/>
  <c r="G199" i="26" s="1"/>
  <c r="F199" i="26" s="1"/>
  <c r="H199" i="26" s="1"/>
  <c r="I198" i="26"/>
  <c r="H156" i="27"/>
  <c r="G210" i="25"/>
  <c r="F210" i="25" s="1"/>
  <c r="H210" i="25" l="1"/>
  <c r="C157" i="27"/>
  <c r="I156" i="27"/>
  <c r="E157" i="27"/>
  <c r="C200" i="26"/>
  <c r="G200" i="26" s="1"/>
  <c r="F200" i="26" s="1"/>
  <c r="H200" i="26" s="1"/>
  <c r="I199" i="26"/>
  <c r="C201" i="26" l="1"/>
  <c r="G201" i="26" s="1"/>
  <c r="F201" i="26" s="1"/>
  <c r="I200" i="26"/>
  <c r="G157" i="27"/>
  <c r="F157" i="27" s="1"/>
  <c r="H157" i="27" s="1"/>
  <c r="C211" i="25"/>
  <c r="G211" i="25" s="1"/>
  <c r="F211" i="25" s="1"/>
  <c r="H211" i="25" s="1"/>
  <c r="E212" i="25" s="1"/>
  <c r="I210" i="25"/>
  <c r="C158" i="27" l="1"/>
  <c r="I157" i="27"/>
  <c r="E158" i="27"/>
  <c r="C212" i="25"/>
  <c r="G212" i="25" s="1"/>
  <c r="F212" i="25" s="1"/>
  <c r="I211" i="25"/>
  <c r="H201" i="26"/>
  <c r="C202" i="26" l="1"/>
  <c r="G202" i="26" s="1"/>
  <c r="F202" i="26" s="1"/>
  <c r="I201" i="26"/>
  <c r="H212" i="25"/>
  <c r="G158" i="27"/>
  <c r="F158" i="27" s="1"/>
  <c r="H158" i="27" l="1"/>
  <c r="C213" i="25"/>
  <c r="I212" i="25"/>
  <c r="E213" i="25"/>
  <c r="H202" i="26"/>
  <c r="E203" i="26" s="1"/>
  <c r="C203" i="26" l="1"/>
  <c r="G203" i="26" s="1"/>
  <c r="F203" i="26" s="1"/>
  <c r="I202" i="26"/>
  <c r="G213" i="25"/>
  <c r="F213" i="25" s="1"/>
  <c r="C159" i="27"/>
  <c r="I158" i="27"/>
  <c r="E159" i="27"/>
  <c r="H213" i="25" l="1"/>
  <c r="G159" i="27"/>
  <c r="F159" i="27" s="1"/>
  <c r="H203" i="26"/>
  <c r="H159" i="27" l="1"/>
  <c r="C204" i="26"/>
  <c r="I203" i="26"/>
  <c r="E204" i="26"/>
  <c r="C214" i="25"/>
  <c r="G214" i="25" s="1"/>
  <c r="F214" i="25" s="1"/>
  <c r="I213" i="25"/>
  <c r="H214" i="25" l="1"/>
  <c r="E215" i="25" s="1"/>
  <c r="G204" i="26"/>
  <c r="F204" i="26" s="1"/>
  <c r="C160" i="27"/>
  <c r="I159" i="27"/>
  <c r="E160" i="27"/>
  <c r="G160" i="27" l="1"/>
  <c r="F160" i="27" s="1"/>
  <c r="H204" i="26"/>
  <c r="C215" i="25"/>
  <c r="G215" i="25" s="1"/>
  <c r="F215" i="25" s="1"/>
  <c r="I214" i="25"/>
  <c r="C205" i="26" l="1"/>
  <c r="G205" i="26" s="1"/>
  <c r="F205" i="26" s="1"/>
  <c r="H205" i="26" s="1"/>
  <c r="I204" i="26"/>
  <c r="H215" i="25"/>
  <c r="H160" i="27"/>
  <c r="E161" i="27" s="1"/>
  <c r="C216" i="25" l="1"/>
  <c r="I215" i="25"/>
  <c r="E216" i="25"/>
  <c r="C161" i="27"/>
  <c r="G161" i="27" s="1"/>
  <c r="F161" i="27" s="1"/>
  <c r="I160" i="27"/>
  <c r="C206" i="26"/>
  <c r="G206" i="26" s="1"/>
  <c r="F206" i="26" s="1"/>
  <c r="H206" i="26" s="1"/>
  <c r="I205" i="26"/>
  <c r="N28" i="27"/>
  <c r="P28" i="27" l="1"/>
  <c r="C207" i="26"/>
  <c r="G207" i="26" s="1"/>
  <c r="F207" i="26" s="1"/>
  <c r="I206" i="26"/>
  <c r="H161" i="27"/>
  <c r="G216" i="25"/>
  <c r="F216" i="25" s="1"/>
  <c r="O28" i="27"/>
  <c r="M28" i="27" l="1"/>
  <c r="H216" i="25"/>
  <c r="H207" i="26"/>
  <c r="D161" i="27"/>
  <c r="C162" i="27"/>
  <c r="C208" i="26" l="1"/>
  <c r="G208" i="26" s="1"/>
  <c r="F208" i="26" s="1"/>
  <c r="H208" i="26" s="1"/>
  <c r="E209" i="26" s="1"/>
  <c r="I207" i="26"/>
  <c r="C217" i="25"/>
  <c r="G217" i="25" s="1"/>
  <c r="F217" i="25" s="1"/>
  <c r="I216" i="25"/>
  <c r="E162" i="27"/>
  <c r="G162" i="27" s="1"/>
  <c r="I161" i="27"/>
  <c r="F162" i="27" l="1"/>
  <c r="H162" i="27" s="1"/>
  <c r="H217" i="25"/>
  <c r="E218" i="25" s="1"/>
  <c r="C209" i="26"/>
  <c r="G209" i="26" s="1"/>
  <c r="F209" i="26" s="1"/>
  <c r="I208" i="26"/>
  <c r="S5" i="3" a="1"/>
  <c r="N32" i="26"/>
  <c r="S5" i="3" l="1"/>
  <c r="P32" i="26"/>
  <c r="C163" i="27"/>
  <c r="I162" i="27"/>
  <c r="E163" i="27"/>
  <c r="H209" i="26"/>
  <c r="C218" i="25"/>
  <c r="G218" i="25" s="1"/>
  <c r="F218" i="25" s="1"/>
  <c r="I217" i="25"/>
  <c r="S8" i="3"/>
  <c r="O32" i="26"/>
  <c r="S9" i="3" l="1"/>
  <c r="S23" i="3" s="1"/>
  <c r="N20" i="12" s="1"/>
  <c r="M32" i="26"/>
  <c r="D209" i="26"/>
  <c r="C210" i="26"/>
  <c r="G163" i="27"/>
  <c r="F163" i="27" s="1"/>
  <c r="H163" i="27" s="1"/>
  <c r="H218" i="25"/>
  <c r="C164" i="27" l="1"/>
  <c r="I163" i="27"/>
  <c r="E164" i="27"/>
  <c r="C219" i="25"/>
  <c r="I218" i="25"/>
  <c r="E219" i="25"/>
  <c r="E210" i="26"/>
  <c r="I209" i="26"/>
  <c r="G219" i="25" l="1"/>
  <c r="F219" i="25" s="1"/>
  <c r="G210" i="26"/>
  <c r="F210" i="26" s="1"/>
  <c r="G164" i="27"/>
  <c r="F164" i="27" s="1"/>
  <c r="H164" i="27" l="1"/>
  <c r="H210" i="26"/>
  <c r="H219" i="25"/>
  <c r="C220" i="25" l="1"/>
  <c r="G220" i="25" s="1"/>
  <c r="F220" i="25" s="1"/>
  <c r="H220" i="25" s="1"/>
  <c r="E221" i="25" s="1"/>
  <c r="I219" i="25"/>
  <c r="C211" i="26"/>
  <c r="G211" i="26" s="1"/>
  <c r="F211" i="26" s="1"/>
  <c r="I210" i="26"/>
  <c r="C165" i="27"/>
  <c r="I164" i="27"/>
  <c r="E165" i="27"/>
  <c r="C221" i="25" l="1"/>
  <c r="G221" i="25" s="1"/>
  <c r="F221" i="25" s="1"/>
  <c r="H221" i="25" s="1"/>
  <c r="I220" i="25"/>
  <c r="G165" i="27"/>
  <c r="F165" i="27" s="1"/>
  <c r="H211" i="26"/>
  <c r="N33" i="25"/>
  <c r="P33" i="25" l="1"/>
  <c r="H165" i="27"/>
  <c r="C212" i="26"/>
  <c r="G212" i="26" s="1"/>
  <c r="F212" i="26" s="1"/>
  <c r="H212" i="26" s="1"/>
  <c r="I211" i="26"/>
  <c r="D221" i="25"/>
  <c r="C222" i="25"/>
  <c r="O33" i="25"/>
  <c r="M33" i="25" l="1"/>
  <c r="C213" i="26"/>
  <c r="G213" i="26" s="1"/>
  <c r="F213" i="26" s="1"/>
  <c r="H213" i="26" s="1"/>
  <c r="I212" i="26"/>
  <c r="E222" i="25"/>
  <c r="G222" i="25" s="1"/>
  <c r="I221" i="25"/>
  <c r="C166" i="27"/>
  <c r="I165" i="27"/>
  <c r="E166" i="27"/>
  <c r="C214" i="26" l="1"/>
  <c r="G214" i="26" s="1"/>
  <c r="F214" i="26" s="1"/>
  <c r="H214" i="26" s="1"/>
  <c r="E215" i="26" s="1"/>
  <c r="I213" i="26"/>
  <c r="F222" i="25"/>
  <c r="H222" i="25" s="1"/>
  <c r="G166" i="27"/>
  <c r="F166" i="27" s="1"/>
  <c r="C223" i="25" l="1"/>
  <c r="G223" i="25" s="1"/>
  <c r="F223" i="25" s="1"/>
  <c r="I222" i="25"/>
  <c r="C215" i="26"/>
  <c r="G215" i="26" s="1"/>
  <c r="F215" i="26" s="1"/>
  <c r="H215" i="26" s="1"/>
  <c r="I214" i="26"/>
  <c r="H166" i="27"/>
  <c r="C216" i="26" l="1"/>
  <c r="I215" i="26"/>
  <c r="E216" i="26"/>
  <c r="C167" i="27"/>
  <c r="I166" i="27"/>
  <c r="E167" i="27"/>
  <c r="H223" i="25"/>
  <c r="E224" i="25" s="1"/>
  <c r="C224" i="25" l="1"/>
  <c r="G224" i="25" s="1"/>
  <c r="F224" i="25" s="1"/>
  <c r="H224" i="25" s="1"/>
  <c r="I223" i="25"/>
  <c r="G167" i="27"/>
  <c r="F167" i="27" s="1"/>
  <c r="G216" i="26"/>
  <c r="F216" i="26" s="1"/>
  <c r="H167" i="27" l="1"/>
  <c r="H216" i="26"/>
  <c r="C225" i="25"/>
  <c r="I224" i="25"/>
  <c r="E225" i="25"/>
  <c r="G225" i="25" l="1"/>
  <c r="F225" i="25" s="1"/>
  <c r="H225" i="25" s="1"/>
  <c r="C217" i="26"/>
  <c r="G217" i="26" s="1"/>
  <c r="F217" i="26" s="1"/>
  <c r="H217" i="26" s="1"/>
  <c r="I216" i="26"/>
  <c r="C168" i="27"/>
  <c r="I167" i="27"/>
  <c r="E168" i="27"/>
  <c r="C226" i="25" l="1"/>
  <c r="G226" i="25" s="1"/>
  <c r="F226" i="25" s="1"/>
  <c r="I225" i="25"/>
  <c r="C218" i="26"/>
  <c r="G218" i="26" s="1"/>
  <c r="F218" i="26" s="1"/>
  <c r="I217" i="26"/>
  <c r="G168" i="27"/>
  <c r="F168" i="27" s="1"/>
  <c r="H168" i="27" l="1"/>
  <c r="H218" i="26"/>
  <c r="H226" i="25"/>
  <c r="E227" i="25" s="1"/>
  <c r="C227" i="25" l="1"/>
  <c r="G227" i="25" s="1"/>
  <c r="F227" i="25" s="1"/>
  <c r="I226" i="25"/>
  <c r="C219" i="26"/>
  <c r="G219" i="26" s="1"/>
  <c r="F219" i="26" s="1"/>
  <c r="I218" i="26"/>
  <c r="C169" i="27"/>
  <c r="I168" i="27"/>
  <c r="E169" i="27"/>
  <c r="G169" i="27" l="1"/>
  <c r="F169" i="27" s="1"/>
  <c r="H169" i="27" s="1"/>
  <c r="H219" i="26"/>
  <c r="H227" i="25"/>
  <c r="C170" i="27" l="1"/>
  <c r="I169" i="27"/>
  <c r="E170" i="27"/>
  <c r="C220" i="26"/>
  <c r="G220" i="26" s="1"/>
  <c r="F220" i="26" s="1"/>
  <c r="I219" i="26"/>
  <c r="C228" i="25"/>
  <c r="I227" i="25"/>
  <c r="E228" i="25"/>
  <c r="G228" i="25" l="1"/>
  <c r="F228" i="25" s="1"/>
  <c r="H228" i="25" s="1"/>
  <c r="H220" i="26"/>
  <c r="E221" i="26" s="1"/>
  <c r="G170" i="27"/>
  <c r="F170" i="27" s="1"/>
  <c r="C229" i="25" l="1"/>
  <c r="G229" i="25" s="1"/>
  <c r="F229" i="25" s="1"/>
  <c r="H229" i="25" s="1"/>
  <c r="E230" i="25" s="1"/>
  <c r="I228" i="25"/>
  <c r="H170" i="27"/>
  <c r="C221" i="26"/>
  <c r="G221" i="26" s="1"/>
  <c r="F221" i="26" s="1"/>
  <c r="H221" i="26" s="1"/>
  <c r="I220" i="26"/>
  <c r="N33" i="26"/>
  <c r="T5" i="3" a="1"/>
  <c r="T5" i="3" l="1"/>
  <c r="P33" i="26"/>
  <c r="D221" i="26"/>
  <c r="C222" i="26"/>
  <c r="C230" i="25"/>
  <c r="G230" i="25" s="1"/>
  <c r="F230" i="25" s="1"/>
  <c r="I229" i="25"/>
  <c r="C171" i="27"/>
  <c r="I170" i="27"/>
  <c r="E171" i="27"/>
  <c r="O33" i="26"/>
  <c r="T8" i="3"/>
  <c r="T9" i="3" l="1"/>
  <c r="T23" i="3" s="1"/>
  <c r="N21" i="12" s="1"/>
  <c r="M33" i="26"/>
  <c r="H230" i="25"/>
  <c r="G171" i="27"/>
  <c r="F171" i="27" s="1"/>
  <c r="E222" i="26"/>
  <c r="I221" i="26"/>
  <c r="H171" i="27" l="1"/>
  <c r="C231" i="25"/>
  <c r="I230" i="25"/>
  <c r="E231" i="25"/>
  <c r="G222" i="26"/>
  <c r="F222" i="26" s="1"/>
  <c r="H222" i="26" l="1"/>
  <c r="G231" i="25"/>
  <c r="F231" i="25" s="1"/>
  <c r="C172" i="27"/>
  <c r="I171" i="27"/>
  <c r="E172" i="27"/>
  <c r="G172" i="27" l="1"/>
  <c r="F172" i="27" s="1"/>
  <c r="H172" i="27" s="1"/>
  <c r="E173" i="27" s="1"/>
  <c r="H231" i="25"/>
  <c r="C223" i="26"/>
  <c r="G223" i="26" s="1"/>
  <c r="F223" i="26" s="1"/>
  <c r="H223" i="26" s="1"/>
  <c r="I222" i="26"/>
  <c r="C224" i="26" l="1"/>
  <c r="G224" i="26" s="1"/>
  <c r="F224" i="26" s="1"/>
  <c r="I223" i="26"/>
  <c r="C173" i="27"/>
  <c r="G173" i="27" s="1"/>
  <c r="F173" i="27" s="1"/>
  <c r="H173" i="27" s="1"/>
  <c r="I172" i="27"/>
  <c r="C232" i="25"/>
  <c r="G232" i="25" s="1"/>
  <c r="F232" i="25" s="1"/>
  <c r="I231" i="25"/>
  <c r="N29" i="27"/>
  <c r="P29" i="27" l="1"/>
  <c r="D173" i="27"/>
  <c r="C174" i="27"/>
  <c r="H232" i="25"/>
  <c r="E233" i="25" s="1"/>
  <c r="H224" i="26"/>
  <c r="O29" i="27"/>
  <c r="M29" i="27" l="1"/>
  <c r="C225" i="26"/>
  <c r="G225" i="26" s="1"/>
  <c r="F225" i="26" s="1"/>
  <c r="I224" i="26"/>
  <c r="C233" i="25"/>
  <c r="G233" i="25" s="1"/>
  <c r="F233" i="25" s="1"/>
  <c r="H233" i="25" s="1"/>
  <c r="I232" i="25"/>
  <c r="E174" i="27"/>
  <c r="G174" i="27" s="1"/>
  <c r="I173" i="27"/>
  <c r="N34" i="25"/>
  <c r="P34" i="25" l="1"/>
  <c r="F174" i="27"/>
  <c r="H225" i="26"/>
  <c r="C234" i="25"/>
  <c r="D233" i="25"/>
  <c r="O34" i="25"/>
  <c r="M34" i="25" l="1"/>
  <c r="C226" i="26"/>
  <c r="G226" i="26" s="1"/>
  <c r="F226" i="26" s="1"/>
  <c r="H226" i="26" s="1"/>
  <c r="E227" i="26" s="1"/>
  <c r="I225" i="26"/>
  <c r="E234" i="25"/>
  <c r="G234" i="25" s="1"/>
  <c r="I233" i="25"/>
  <c r="H174" i="27"/>
  <c r="C227" i="26" l="1"/>
  <c r="G227" i="26" s="1"/>
  <c r="F227" i="26" s="1"/>
  <c r="H227" i="26" s="1"/>
  <c r="I226" i="26"/>
  <c r="F234" i="25"/>
  <c r="H234" i="25" s="1"/>
  <c r="C175" i="27"/>
  <c r="I174" i="27"/>
  <c r="E175" i="27"/>
  <c r="C228" i="26" l="1"/>
  <c r="I227" i="26"/>
  <c r="E228" i="26"/>
  <c r="G175" i="27"/>
  <c r="F175" i="27" s="1"/>
  <c r="C235" i="25"/>
  <c r="G235" i="25" s="1"/>
  <c r="F235" i="25" s="1"/>
  <c r="I234" i="25"/>
  <c r="H235" i="25" l="1"/>
  <c r="E236" i="25" s="1"/>
  <c r="H175" i="27"/>
  <c r="G228" i="26"/>
  <c r="F228" i="26" s="1"/>
  <c r="H228" i="26" l="1"/>
  <c r="C176" i="27"/>
  <c r="I175" i="27"/>
  <c r="E176" i="27"/>
  <c r="C236" i="25"/>
  <c r="G236" i="25" s="1"/>
  <c r="F236" i="25" s="1"/>
  <c r="I235" i="25"/>
  <c r="H236" i="25" l="1"/>
  <c r="G176" i="27"/>
  <c r="F176" i="27" s="1"/>
  <c r="C229" i="26"/>
  <c r="G229" i="26" s="1"/>
  <c r="F229" i="26" s="1"/>
  <c r="H229" i="26" s="1"/>
  <c r="I228" i="26"/>
  <c r="H176" i="27" l="1"/>
  <c r="C230" i="26"/>
  <c r="G230" i="26" s="1"/>
  <c r="F230" i="26" s="1"/>
  <c r="H230" i="26" s="1"/>
  <c r="I229" i="26"/>
  <c r="C237" i="25"/>
  <c r="I236" i="25"/>
  <c r="E237" i="25"/>
  <c r="C231" i="26" l="1"/>
  <c r="G231" i="26" s="1"/>
  <c r="F231" i="26" s="1"/>
  <c r="H231" i="26" s="1"/>
  <c r="I230" i="26"/>
  <c r="G237" i="25"/>
  <c r="F237" i="25" s="1"/>
  <c r="H237" i="25" s="1"/>
  <c r="C177" i="27"/>
  <c r="I176" i="27"/>
  <c r="E177" i="27"/>
  <c r="C238" i="25" l="1"/>
  <c r="G238" i="25" s="1"/>
  <c r="F238" i="25" s="1"/>
  <c r="H238" i="25" s="1"/>
  <c r="E239" i="25" s="1"/>
  <c r="I237" i="25"/>
  <c r="G177" i="27"/>
  <c r="F177" i="27" s="1"/>
  <c r="C232" i="26"/>
  <c r="G232" i="26" s="1"/>
  <c r="F232" i="26" s="1"/>
  <c r="I231" i="26"/>
  <c r="H177" i="27" l="1"/>
  <c r="H232" i="26"/>
  <c r="E233" i="26" s="1"/>
  <c r="C239" i="25"/>
  <c r="G239" i="25" s="1"/>
  <c r="F239" i="25" s="1"/>
  <c r="H239" i="25" s="1"/>
  <c r="I238" i="25"/>
  <c r="C233" i="26" l="1"/>
  <c r="G233" i="26" s="1"/>
  <c r="F233" i="26" s="1"/>
  <c r="H233" i="26" s="1"/>
  <c r="I232" i="26"/>
  <c r="C240" i="25"/>
  <c r="I239" i="25"/>
  <c r="E240" i="25"/>
  <c r="C178" i="27"/>
  <c r="I177" i="27"/>
  <c r="E178" i="27"/>
  <c r="U5" i="3" a="1"/>
  <c r="N34" i="26"/>
  <c r="U5" i="3" l="1"/>
  <c r="P34" i="26"/>
  <c r="D233" i="26"/>
  <c r="C234" i="26"/>
  <c r="G178" i="27"/>
  <c r="F178" i="27" s="1"/>
  <c r="G240" i="25"/>
  <c r="F240" i="25" s="1"/>
  <c r="H240" i="25" s="1"/>
  <c r="O34" i="26"/>
  <c r="U8" i="3"/>
  <c r="U9" i="3" l="1"/>
  <c r="U23" i="3" s="1"/>
  <c r="N22" i="12" s="1"/>
  <c r="M34" i="26"/>
  <c r="H178" i="27"/>
  <c r="C241" i="25"/>
  <c r="G241" i="25" s="1"/>
  <c r="F241" i="25" s="1"/>
  <c r="H241" i="25" s="1"/>
  <c r="E242" i="25" s="1"/>
  <c r="I240" i="25"/>
  <c r="E234" i="26"/>
  <c r="G234" i="26" s="1"/>
  <c r="I233" i="26"/>
  <c r="C242" i="25" l="1"/>
  <c r="G242" i="25" s="1"/>
  <c r="F242" i="25" s="1"/>
  <c r="H242" i="25" s="1"/>
  <c r="I241" i="25"/>
  <c r="F234" i="26"/>
  <c r="C179" i="27"/>
  <c r="I178" i="27"/>
  <c r="E179" i="27"/>
  <c r="C243" i="25" l="1"/>
  <c r="I242" i="25"/>
  <c r="E243" i="25"/>
  <c r="G179" i="27"/>
  <c r="F179" i="27" s="1"/>
  <c r="H234" i="26"/>
  <c r="H179" i="27" l="1"/>
  <c r="C235" i="26"/>
  <c r="G235" i="26" s="1"/>
  <c r="F235" i="26" s="1"/>
  <c r="I234" i="26"/>
  <c r="G243" i="25"/>
  <c r="F243" i="25" s="1"/>
  <c r="H243" i="25" l="1"/>
  <c r="H235" i="26"/>
  <c r="C180" i="27"/>
  <c r="I179" i="27"/>
  <c r="E180" i="27"/>
  <c r="G180" i="27" l="1"/>
  <c r="F180" i="27" s="1"/>
  <c r="C236" i="26"/>
  <c r="G236" i="26" s="1"/>
  <c r="F236" i="26" s="1"/>
  <c r="I235" i="26"/>
  <c r="C244" i="25"/>
  <c r="G244" i="25" s="1"/>
  <c r="F244" i="25" s="1"/>
  <c r="I243" i="25"/>
  <c r="H180" i="27" l="1"/>
  <c r="H244" i="25"/>
  <c r="E245" i="25" s="1"/>
  <c r="H236" i="26"/>
  <c r="C237" i="26" l="1"/>
  <c r="G237" i="26" s="1"/>
  <c r="F237" i="26" s="1"/>
  <c r="I236" i="26"/>
  <c r="C245" i="25"/>
  <c r="G245" i="25" s="1"/>
  <c r="F245" i="25" s="1"/>
  <c r="H245" i="25" s="1"/>
  <c r="I244" i="25"/>
  <c r="C181" i="27"/>
  <c r="I180" i="27"/>
  <c r="E181" i="27"/>
  <c r="N35" i="25"/>
  <c r="P35" i="25" l="1"/>
  <c r="D245" i="25"/>
  <c r="C246" i="25"/>
  <c r="G181" i="27"/>
  <c r="F181" i="27" s="1"/>
  <c r="H181" i="27" s="1"/>
  <c r="H237" i="26"/>
  <c r="O35" i="25"/>
  <c r="M35" i="25" l="1"/>
  <c r="C182" i="27"/>
  <c r="I181" i="27"/>
  <c r="E182" i="27"/>
  <c r="E246" i="25"/>
  <c r="G246" i="25" s="1"/>
  <c r="I245" i="25"/>
  <c r="C238" i="26"/>
  <c r="G238" i="26" s="1"/>
  <c r="F238" i="26" s="1"/>
  <c r="H238" i="26" s="1"/>
  <c r="E239" i="26" s="1"/>
  <c r="I237" i="26"/>
  <c r="C239" i="26" l="1"/>
  <c r="G239" i="26" s="1"/>
  <c r="F239" i="26" s="1"/>
  <c r="I238" i="26"/>
  <c r="G182" i="27"/>
  <c r="F182" i="27" s="1"/>
  <c r="F246" i="25"/>
  <c r="H246" i="25" s="1"/>
  <c r="H182" i="27" l="1"/>
  <c r="C247" i="25"/>
  <c r="G247" i="25" s="1"/>
  <c r="F247" i="25" s="1"/>
  <c r="H247" i="25" s="1"/>
  <c r="E248" i="25" s="1"/>
  <c r="I246" i="25"/>
  <c r="H239" i="26"/>
  <c r="C248" i="25" l="1"/>
  <c r="G248" i="25" s="1"/>
  <c r="F248" i="25" s="1"/>
  <c r="I247" i="25"/>
  <c r="C240" i="26"/>
  <c r="I239" i="26"/>
  <c r="E240" i="26"/>
  <c r="C183" i="27"/>
  <c r="I182" i="27"/>
  <c r="E183" i="27"/>
  <c r="G183" i="27" l="1"/>
  <c r="F183" i="27" s="1"/>
  <c r="H183" i="27" s="1"/>
  <c r="G240" i="26"/>
  <c r="F240" i="26" s="1"/>
  <c r="H248" i="25"/>
  <c r="H240" i="26" l="1"/>
  <c r="C184" i="27"/>
  <c r="I183" i="27"/>
  <c r="E184" i="27"/>
  <c r="C249" i="25"/>
  <c r="I248" i="25"/>
  <c r="E249" i="25"/>
  <c r="G249" i="25" l="1"/>
  <c r="F249" i="25" s="1"/>
  <c r="H249" i="25" s="1"/>
  <c r="G184" i="27"/>
  <c r="F184" i="27" s="1"/>
  <c r="C241" i="26"/>
  <c r="G241" i="26" s="1"/>
  <c r="F241" i="26" s="1"/>
  <c r="I240" i="26"/>
  <c r="H184" i="27" l="1"/>
  <c r="E185" i="27" s="1"/>
  <c r="H241" i="26"/>
  <c r="C250" i="25"/>
  <c r="G250" i="25" s="1"/>
  <c r="F250" i="25" s="1"/>
  <c r="H250" i="25" s="1"/>
  <c r="E251" i="25" s="1"/>
  <c r="I249" i="25"/>
  <c r="C251" i="25" l="1"/>
  <c r="G251" i="25" s="1"/>
  <c r="F251" i="25" s="1"/>
  <c r="H251" i="25" s="1"/>
  <c r="I250" i="25"/>
  <c r="C242" i="26"/>
  <c r="G242" i="26" s="1"/>
  <c r="F242" i="26" s="1"/>
  <c r="H242" i="26" s="1"/>
  <c r="I241" i="26"/>
  <c r="C185" i="27"/>
  <c r="G185" i="27" s="1"/>
  <c r="F185" i="27" s="1"/>
  <c r="H185" i="27" s="1"/>
  <c r="I184" i="27"/>
  <c r="N30" i="27"/>
  <c r="P30" i="27" l="1"/>
  <c r="C252" i="25"/>
  <c r="I251" i="25"/>
  <c r="E252" i="25"/>
  <c r="C186" i="27"/>
  <c r="D185" i="27"/>
  <c r="C243" i="26"/>
  <c r="G243" i="26" s="1"/>
  <c r="F243" i="26" s="1"/>
  <c r="I242" i="26"/>
  <c r="O30" i="27"/>
  <c r="M30" i="27" l="1"/>
  <c r="G252" i="25"/>
  <c r="F252" i="25" s="1"/>
  <c r="E186" i="27"/>
  <c r="I185" i="27"/>
  <c r="H243" i="26"/>
  <c r="H252" i="25" l="1"/>
  <c r="G186" i="27"/>
  <c r="F186" i="27" s="1"/>
  <c r="C244" i="26"/>
  <c r="G244" i="26" s="1"/>
  <c r="F244" i="26" s="1"/>
  <c r="I243" i="26"/>
  <c r="H186" i="27" l="1"/>
  <c r="H244" i="26"/>
  <c r="E245" i="26" s="1"/>
  <c r="C253" i="25"/>
  <c r="G253" i="25" s="1"/>
  <c r="F253" i="25" s="1"/>
  <c r="H253" i="25" s="1"/>
  <c r="E254" i="25" s="1"/>
  <c r="I252" i="25"/>
  <c r="C254" i="25" l="1"/>
  <c r="G254" i="25" s="1"/>
  <c r="F254" i="25" s="1"/>
  <c r="I253" i="25"/>
  <c r="C245" i="26"/>
  <c r="G245" i="26" s="1"/>
  <c r="F245" i="26" s="1"/>
  <c r="I244" i="26"/>
  <c r="C187" i="27"/>
  <c r="I186" i="27"/>
  <c r="E187" i="27"/>
  <c r="V5" i="3" a="1"/>
  <c r="N35" i="26"/>
  <c r="V5" i="3" l="1"/>
  <c r="P35" i="26"/>
  <c r="G187" i="27"/>
  <c r="F187" i="27" s="1"/>
  <c r="H187" i="27" s="1"/>
  <c r="H245" i="26"/>
  <c r="H254" i="25"/>
  <c r="O35" i="26"/>
  <c r="V8" i="3"/>
  <c r="V9" i="3" l="1"/>
  <c r="V23" i="3" s="1"/>
  <c r="N23" i="12" s="1"/>
  <c r="M35" i="26"/>
  <c r="C188" i="27"/>
  <c r="I187" i="27"/>
  <c r="E188" i="27"/>
  <c r="C246" i="26"/>
  <c r="D245" i="26"/>
  <c r="C255" i="25"/>
  <c r="I254" i="25"/>
  <c r="E255" i="25"/>
  <c r="E246" i="26" l="1"/>
  <c r="G246" i="26" s="1"/>
  <c r="I245" i="26"/>
  <c r="G188" i="27"/>
  <c r="F188" i="27" s="1"/>
  <c r="G255" i="25"/>
  <c r="F255" i="25" s="1"/>
  <c r="H255" i="25" l="1"/>
  <c r="H188" i="27"/>
  <c r="F246" i="26"/>
  <c r="H246" i="26" l="1"/>
  <c r="C189" i="27"/>
  <c r="I188" i="27"/>
  <c r="E189" i="27"/>
  <c r="C256" i="25"/>
  <c r="G256" i="25" s="1"/>
  <c r="F256" i="25" s="1"/>
  <c r="H256" i="25" s="1"/>
  <c r="E257" i="25" s="1"/>
  <c r="I255" i="25"/>
  <c r="C257" i="25" l="1"/>
  <c r="G257" i="25" s="1"/>
  <c r="F257" i="25" s="1"/>
  <c r="I256" i="25"/>
  <c r="G189" i="27"/>
  <c r="F189" i="27" s="1"/>
  <c r="C247" i="26"/>
  <c r="G247" i="26" s="1"/>
  <c r="F247" i="26" s="1"/>
  <c r="H247" i="26" s="1"/>
  <c r="I246" i="26"/>
  <c r="N36" i="25"/>
  <c r="P36" i="25" l="1"/>
  <c r="H189" i="27"/>
  <c r="C248" i="26"/>
  <c r="G248" i="26" s="1"/>
  <c r="F248" i="26" s="1"/>
  <c r="H248" i="26" s="1"/>
  <c r="I247" i="26"/>
  <c r="H257" i="25"/>
  <c r="O36" i="25"/>
  <c r="M36" i="25" l="1"/>
  <c r="C249" i="26"/>
  <c r="G249" i="26" s="1"/>
  <c r="F249" i="26" s="1"/>
  <c r="H249" i="26" s="1"/>
  <c r="I248" i="26"/>
  <c r="C190" i="27"/>
  <c r="I189" i="27"/>
  <c r="E190" i="27"/>
  <c r="C258" i="25"/>
  <c r="D257" i="25"/>
  <c r="C250" i="26" l="1"/>
  <c r="G250" i="26" s="1"/>
  <c r="F250" i="26" s="1"/>
  <c r="I249" i="26"/>
  <c r="G190" i="27"/>
  <c r="F190" i="27" s="1"/>
  <c r="E258" i="25"/>
  <c r="G258" i="25" s="1"/>
  <c r="I257" i="25"/>
  <c r="H190" i="27" l="1"/>
  <c r="F258" i="25"/>
  <c r="H258" i="25" s="1"/>
  <c r="H250" i="26"/>
  <c r="E251" i="26" s="1"/>
  <c r="C251" i="26" l="1"/>
  <c r="G251" i="26" s="1"/>
  <c r="F251" i="26" s="1"/>
  <c r="H251" i="26" s="1"/>
  <c r="I250" i="26"/>
  <c r="C259" i="25"/>
  <c r="G259" i="25" s="1"/>
  <c r="F259" i="25" s="1"/>
  <c r="I258" i="25"/>
  <c r="C191" i="27"/>
  <c r="I190" i="27"/>
  <c r="E191" i="27"/>
  <c r="C252" i="26" l="1"/>
  <c r="I251" i="26"/>
  <c r="E252" i="26"/>
  <c r="G191" i="27"/>
  <c r="F191" i="27" s="1"/>
  <c r="H259" i="25"/>
  <c r="E260" i="25" s="1"/>
  <c r="C260" i="25" l="1"/>
  <c r="G260" i="25" s="1"/>
  <c r="F260" i="25" s="1"/>
  <c r="H260" i="25" s="1"/>
  <c r="I259" i="25"/>
  <c r="H191" i="27"/>
  <c r="G252" i="26"/>
  <c r="F252" i="26" s="1"/>
  <c r="H252" i="26" l="1"/>
  <c r="C261" i="25"/>
  <c r="I260" i="25"/>
  <c r="E261" i="25"/>
  <c r="C192" i="27"/>
  <c r="I191" i="27"/>
  <c r="E192" i="27"/>
  <c r="G192" i="27" l="1"/>
  <c r="F192" i="27" s="1"/>
  <c r="H192" i="27" s="1"/>
  <c r="G261" i="25"/>
  <c r="F261" i="25" s="1"/>
  <c r="C253" i="26"/>
  <c r="G253" i="26" s="1"/>
  <c r="F253" i="26" s="1"/>
  <c r="H253" i="26" s="1"/>
  <c r="I252" i="26"/>
  <c r="C254" i="26" l="1"/>
  <c r="G254" i="26" s="1"/>
  <c r="F254" i="26" s="1"/>
  <c r="H254" i="26" s="1"/>
  <c r="I253" i="26"/>
  <c r="H261" i="25"/>
  <c r="C193" i="27"/>
  <c r="I192" i="27"/>
  <c r="E193" i="27"/>
  <c r="C262" i="25" l="1"/>
  <c r="G262" i="25" s="1"/>
  <c r="F262" i="25" s="1"/>
  <c r="H262" i="25" s="1"/>
  <c r="E263" i="25" s="1"/>
  <c r="I261" i="25"/>
  <c r="G193" i="27"/>
  <c r="F193" i="27" s="1"/>
  <c r="C255" i="26"/>
  <c r="G255" i="26" s="1"/>
  <c r="F255" i="26" s="1"/>
  <c r="I254" i="26"/>
  <c r="H193" i="27" l="1"/>
  <c r="C263" i="25"/>
  <c r="G263" i="25" s="1"/>
  <c r="F263" i="25" s="1"/>
  <c r="I262" i="25"/>
  <c r="H255" i="26"/>
  <c r="C256" i="26" l="1"/>
  <c r="G256" i="26" s="1"/>
  <c r="F256" i="26" s="1"/>
  <c r="H256" i="26" s="1"/>
  <c r="E257" i="26" s="1"/>
  <c r="I255" i="26"/>
  <c r="H263" i="25"/>
  <c r="C194" i="27"/>
  <c r="I193" i="27"/>
  <c r="E194" i="27"/>
  <c r="G194" i="27" l="1"/>
  <c r="F194" i="27" s="1"/>
  <c r="H194" i="27" s="1"/>
  <c r="C264" i="25"/>
  <c r="I263" i="25"/>
  <c r="E264" i="25"/>
  <c r="C257" i="26"/>
  <c r="G257" i="26" s="1"/>
  <c r="F257" i="26" s="1"/>
  <c r="I256" i="26"/>
  <c r="N36" i="26"/>
  <c r="W5" i="3" a="1"/>
  <c r="W5" i="3" l="1"/>
  <c r="P36" i="26"/>
  <c r="C195" i="27"/>
  <c r="I194" i="27"/>
  <c r="E195" i="27"/>
  <c r="G264" i="25"/>
  <c r="F264" i="25" s="1"/>
  <c r="H264" i="25" s="1"/>
  <c r="H257" i="26"/>
  <c r="O36" i="26"/>
  <c r="W8" i="3"/>
  <c r="W9" i="3" l="1"/>
  <c r="W23" i="3" s="1"/>
  <c r="N24" i="12" s="1"/>
  <c r="M36" i="26"/>
  <c r="C265" i="25"/>
  <c r="G265" i="25" s="1"/>
  <c r="F265" i="25" s="1"/>
  <c r="I264" i="25"/>
  <c r="C258" i="26"/>
  <c r="D257" i="26"/>
  <c r="G195" i="27"/>
  <c r="F195" i="27" s="1"/>
  <c r="H195" i="27" l="1"/>
  <c r="H265" i="25"/>
  <c r="E266" i="25" s="1"/>
  <c r="E258" i="26"/>
  <c r="I257" i="26"/>
  <c r="C266" i="25" l="1"/>
  <c r="G266" i="25" s="1"/>
  <c r="F266" i="25" s="1"/>
  <c r="I265" i="25"/>
  <c r="G258" i="26"/>
  <c r="F258" i="26" s="1"/>
  <c r="C196" i="27"/>
  <c r="I195" i="27"/>
  <c r="E196" i="27"/>
  <c r="G196" i="27" l="1"/>
  <c r="F196" i="27" s="1"/>
  <c r="H196" i="27" s="1"/>
  <c r="E197" i="27" s="1"/>
  <c r="H258" i="26"/>
  <c r="H266" i="25"/>
  <c r="C197" i="27" l="1"/>
  <c r="G197" i="27" s="1"/>
  <c r="F197" i="27" s="1"/>
  <c r="H197" i="27" s="1"/>
  <c r="I196" i="27"/>
  <c r="C267" i="25"/>
  <c r="I266" i="25"/>
  <c r="E267" i="25"/>
  <c r="C259" i="26"/>
  <c r="G259" i="26" s="1"/>
  <c r="F259" i="26" s="1"/>
  <c r="I258" i="26"/>
  <c r="N31" i="27"/>
  <c r="P31" i="27" l="1"/>
  <c r="G267" i="25"/>
  <c r="F267" i="25" s="1"/>
  <c r="H259" i="26"/>
  <c r="D197" i="27"/>
  <c r="C198" i="27"/>
  <c r="O31" i="27"/>
  <c r="M31" i="27" l="1"/>
  <c r="H267" i="25"/>
  <c r="C260" i="26"/>
  <c r="G260" i="26" s="1"/>
  <c r="F260" i="26" s="1"/>
  <c r="H260" i="26" s="1"/>
  <c r="I259" i="26"/>
  <c r="E198" i="27"/>
  <c r="I197" i="27"/>
  <c r="C261" i="26" l="1"/>
  <c r="G261" i="26" s="1"/>
  <c r="F261" i="26" s="1"/>
  <c r="I260" i="26"/>
  <c r="C268" i="25"/>
  <c r="G268" i="25" s="1"/>
  <c r="F268" i="25" s="1"/>
  <c r="H268" i="25" s="1"/>
  <c r="E269" i="25" s="1"/>
  <c r="I267" i="25"/>
  <c r="G198" i="27"/>
  <c r="F198" i="27" s="1"/>
  <c r="H198" i="27" l="1"/>
  <c r="C269" i="25"/>
  <c r="G269" i="25" s="1"/>
  <c r="F269" i="25" s="1"/>
  <c r="H269" i="25" s="1"/>
  <c r="I268" i="25"/>
  <c r="H261" i="26"/>
  <c r="N37" i="25"/>
  <c r="P37" i="25" l="1"/>
  <c r="C270" i="25"/>
  <c r="D269" i="25"/>
  <c r="C262" i="26"/>
  <c r="G262" i="26" s="1"/>
  <c r="F262" i="26" s="1"/>
  <c r="H262" i="26" s="1"/>
  <c r="E263" i="26" s="1"/>
  <c r="I261" i="26"/>
  <c r="C199" i="27"/>
  <c r="I198" i="27"/>
  <c r="E199" i="27"/>
  <c r="O37" i="25"/>
  <c r="M37" i="25" l="1"/>
  <c r="C263" i="26"/>
  <c r="G263" i="26" s="1"/>
  <c r="F263" i="26" s="1"/>
  <c r="H263" i="26" s="1"/>
  <c r="I262" i="26"/>
  <c r="E270" i="25"/>
  <c r="G270" i="25" s="1"/>
  <c r="I269" i="25"/>
  <c r="G199" i="27"/>
  <c r="F199" i="27" s="1"/>
  <c r="H199" i="27" l="1"/>
  <c r="C264" i="26"/>
  <c r="I263" i="26"/>
  <c r="E264" i="26"/>
  <c r="F270" i="25"/>
  <c r="H270" i="25" s="1"/>
  <c r="C271" i="25" l="1"/>
  <c r="G271" i="25" s="1"/>
  <c r="F271" i="25" s="1"/>
  <c r="H271" i="25" s="1"/>
  <c r="E272" i="25" s="1"/>
  <c r="I270" i="25"/>
  <c r="G264" i="26"/>
  <c r="F264" i="26" s="1"/>
  <c r="C200" i="27"/>
  <c r="I199" i="27"/>
  <c r="E200" i="27"/>
  <c r="C272" i="25" l="1"/>
  <c r="G272" i="25" s="1"/>
  <c r="F272" i="25" s="1"/>
  <c r="I271" i="25"/>
  <c r="H264" i="26"/>
  <c r="G200" i="27"/>
  <c r="F200" i="27" s="1"/>
  <c r="H200" i="27" l="1"/>
  <c r="C265" i="26"/>
  <c r="G265" i="26" s="1"/>
  <c r="F265" i="26" s="1"/>
  <c r="I264" i="26"/>
  <c r="H272" i="25"/>
  <c r="C273" i="25" l="1"/>
  <c r="I272" i="25"/>
  <c r="E273" i="25"/>
  <c r="H265" i="26"/>
  <c r="C201" i="27"/>
  <c r="I200" i="27"/>
  <c r="E201" i="27"/>
  <c r="G201" i="27" l="1"/>
  <c r="F201" i="27" s="1"/>
  <c r="C266" i="26"/>
  <c r="G266" i="26" s="1"/>
  <c r="F266" i="26" s="1"/>
  <c r="H266" i="26" s="1"/>
  <c r="I265" i="26"/>
  <c r="G273" i="25"/>
  <c r="F273" i="25" s="1"/>
  <c r="C267" i="26" l="1"/>
  <c r="G267" i="26" s="1"/>
  <c r="F267" i="26" s="1"/>
  <c r="I266" i="26"/>
  <c r="H273" i="25"/>
  <c r="H201" i="27"/>
  <c r="C202" i="27" l="1"/>
  <c r="I201" i="27"/>
  <c r="E202" i="27"/>
  <c r="C274" i="25"/>
  <c r="G274" i="25" s="1"/>
  <c r="F274" i="25" s="1"/>
  <c r="I273" i="25"/>
  <c r="H267" i="26"/>
  <c r="H274" i="25" l="1"/>
  <c r="E275" i="25" s="1"/>
  <c r="C268" i="26"/>
  <c r="G268" i="26" s="1"/>
  <c r="F268" i="26" s="1"/>
  <c r="H268" i="26" s="1"/>
  <c r="E269" i="26" s="1"/>
  <c r="I267" i="26"/>
  <c r="G202" i="27"/>
  <c r="F202" i="27" s="1"/>
  <c r="H202" i="27" l="1"/>
  <c r="C269" i="26"/>
  <c r="G269" i="26" s="1"/>
  <c r="F269" i="26" s="1"/>
  <c r="H269" i="26" s="1"/>
  <c r="I268" i="26"/>
  <c r="C275" i="25"/>
  <c r="G275" i="25" s="1"/>
  <c r="F275" i="25" s="1"/>
  <c r="H275" i="25" s="1"/>
  <c r="I274" i="25"/>
  <c r="N37" i="26"/>
  <c r="X5" i="3" a="1"/>
  <c r="X5" i="3" l="1"/>
  <c r="P37" i="26"/>
  <c r="C276" i="25"/>
  <c r="I275" i="25"/>
  <c r="E276" i="25"/>
  <c r="D269" i="26"/>
  <c r="C270" i="26"/>
  <c r="C203" i="27"/>
  <c r="I202" i="27"/>
  <c r="E203" i="27"/>
  <c r="O37" i="26"/>
  <c r="X8" i="3"/>
  <c r="X9" i="3" l="1"/>
  <c r="X23" i="3" s="1"/>
  <c r="N25" i="12" s="1"/>
  <c r="M37" i="26"/>
  <c r="G276" i="25"/>
  <c r="F276" i="25" s="1"/>
  <c r="E270" i="26"/>
  <c r="G270" i="26" s="1"/>
  <c r="I269" i="26"/>
  <c r="G203" i="27"/>
  <c r="F203" i="27" s="1"/>
  <c r="H203" i="27" l="1"/>
  <c r="H276" i="25"/>
  <c r="F270" i="26"/>
  <c r="H270" i="26" l="1"/>
  <c r="C277" i="25"/>
  <c r="G277" i="25" s="1"/>
  <c r="F277" i="25" s="1"/>
  <c r="I276" i="25"/>
  <c r="C204" i="27"/>
  <c r="I203" i="27"/>
  <c r="E204" i="27"/>
  <c r="G204" i="27" l="1"/>
  <c r="F204" i="27" s="1"/>
  <c r="H277" i="25"/>
  <c r="E278" i="25" s="1"/>
  <c r="C271" i="26"/>
  <c r="G271" i="26" s="1"/>
  <c r="F271" i="26" s="1"/>
  <c r="H271" i="26" s="1"/>
  <c r="I270" i="26"/>
  <c r="C272" i="26" l="1"/>
  <c r="G272" i="26" s="1"/>
  <c r="F272" i="26" s="1"/>
  <c r="H272" i="26" s="1"/>
  <c r="I271" i="26"/>
  <c r="H204" i="27"/>
  <c r="C278" i="25"/>
  <c r="G278" i="25" s="1"/>
  <c r="F278" i="25" s="1"/>
  <c r="I277" i="25"/>
  <c r="C273" i="26" l="1"/>
  <c r="G273" i="26" s="1"/>
  <c r="F273" i="26" s="1"/>
  <c r="I272" i="26"/>
  <c r="C205" i="27"/>
  <c r="I204" i="27"/>
  <c r="E205" i="27"/>
  <c r="H278" i="25"/>
  <c r="C279" i="25" l="1"/>
  <c r="I278" i="25"/>
  <c r="E279" i="25"/>
  <c r="G205" i="27"/>
  <c r="F205" i="27" s="1"/>
  <c r="H205" i="27" s="1"/>
  <c r="H273" i="26"/>
  <c r="C206" i="27" l="1"/>
  <c r="I205" i="27"/>
  <c r="E206" i="27"/>
  <c r="C274" i="26"/>
  <c r="G274" i="26" s="1"/>
  <c r="F274" i="26" s="1"/>
  <c r="H274" i="26" s="1"/>
  <c r="E275" i="26" s="1"/>
  <c r="I273" i="26"/>
  <c r="G279" i="25"/>
  <c r="F279" i="25" s="1"/>
  <c r="H279" i="25" s="1"/>
  <c r="C280" i="25" l="1"/>
  <c r="G280" i="25" s="1"/>
  <c r="F280" i="25" s="1"/>
  <c r="H280" i="25" s="1"/>
  <c r="E281" i="25" s="1"/>
  <c r="I279" i="25"/>
  <c r="C275" i="26"/>
  <c r="G275" i="26" s="1"/>
  <c r="F275" i="26" s="1"/>
  <c r="I274" i="26"/>
  <c r="G206" i="27"/>
  <c r="F206" i="27" s="1"/>
  <c r="H206" i="27" s="1"/>
  <c r="C281" i="25" l="1"/>
  <c r="G281" i="25" s="1"/>
  <c r="F281" i="25" s="1"/>
  <c r="I280" i="25"/>
  <c r="C207" i="27"/>
  <c r="I206" i="27"/>
  <c r="E207" i="27"/>
  <c r="H275" i="26"/>
  <c r="N38" i="25"/>
  <c r="P38" i="25" l="1"/>
  <c r="C276" i="26"/>
  <c r="I275" i="26"/>
  <c r="E276" i="26"/>
  <c r="G207" i="27"/>
  <c r="F207" i="27" s="1"/>
  <c r="H207" i="27" s="1"/>
  <c r="H281" i="25"/>
  <c r="O38" i="25"/>
  <c r="M38" i="25" l="1"/>
  <c r="G276" i="26"/>
  <c r="F276" i="26" s="1"/>
  <c r="D281" i="25"/>
  <c r="C282" i="25"/>
  <c r="C208" i="27"/>
  <c r="I207" i="27"/>
  <c r="E208" i="27"/>
  <c r="H276" i="26" l="1"/>
  <c r="E282" i="25"/>
  <c r="G282" i="25" s="1"/>
  <c r="I281" i="25"/>
  <c r="G208" i="27"/>
  <c r="F208" i="27" s="1"/>
  <c r="H208" i="27" l="1"/>
  <c r="E209" i="27" s="1"/>
  <c r="F282" i="25"/>
  <c r="C277" i="26"/>
  <c r="G277" i="26" s="1"/>
  <c r="F277" i="26" s="1"/>
  <c r="H277" i="26" s="1"/>
  <c r="I276" i="26"/>
  <c r="C278" i="26" l="1"/>
  <c r="G278" i="26" s="1"/>
  <c r="F278" i="26" s="1"/>
  <c r="H278" i="26" s="1"/>
  <c r="I277" i="26"/>
  <c r="H282" i="25"/>
  <c r="C209" i="27"/>
  <c r="G209" i="27" s="1"/>
  <c r="F209" i="27" s="1"/>
  <c r="H209" i="27" s="1"/>
  <c r="I208" i="27"/>
  <c r="N32" i="27"/>
  <c r="P32" i="27" l="1"/>
  <c r="C279" i="26"/>
  <c r="G279" i="26" s="1"/>
  <c r="F279" i="26" s="1"/>
  <c r="I278" i="26"/>
  <c r="C210" i="27"/>
  <c r="D209" i="27"/>
  <c r="C283" i="25"/>
  <c r="G283" i="25" s="1"/>
  <c r="F283" i="25" s="1"/>
  <c r="I282" i="25"/>
  <c r="O32" i="27"/>
  <c r="M32" i="27" l="1"/>
  <c r="H279" i="26"/>
  <c r="E210" i="27"/>
  <c r="I209" i="27"/>
  <c r="H283" i="25"/>
  <c r="E284" i="25" s="1"/>
  <c r="C284" i="25" l="1"/>
  <c r="G284" i="25" s="1"/>
  <c r="F284" i="25" s="1"/>
  <c r="H284" i="25" s="1"/>
  <c r="I283" i="25"/>
  <c r="C280" i="26"/>
  <c r="G280" i="26" s="1"/>
  <c r="F280" i="26" s="1"/>
  <c r="I279" i="26"/>
  <c r="G210" i="27"/>
  <c r="F210" i="27" s="1"/>
  <c r="H210" i="27" s="1"/>
  <c r="C211" i="27" l="1"/>
  <c r="I210" i="27"/>
  <c r="E211" i="27"/>
  <c r="H280" i="26"/>
  <c r="E281" i="26" s="1"/>
  <c r="C285" i="25"/>
  <c r="I284" i="25"/>
  <c r="E285" i="25"/>
  <c r="G285" i="25" l="1"/>
  <c r="F285" i="25" s="1"/>
  <c r="C281" i="26"/>
  <c r="G281" i="26" s="1"/>
  <c r="F281" i="26" s="1"/>
  <c r="H281" i="26" s="1"/>
  <c r="I280" i="26"/>
  <c r="G211" i="27"/>
  <c r="F211" i="27" s="1"/>
  <c r="Y5" i="3" a="1"/>
  <c r="N38" i="26"/>
  <c r="Y5" i="3" l="1"/>
  <c r="P38" i="26"/>
  <c r="C282" i="26"/>
  <c r="D281" i="26"/>
  <c r="H211" i="27"/>
  <c r="H285" i="25"/>
  <c r="O38" i="26"/>
  <c r="Y8" i="3"/>
  <c r="Y9" i="3" l="1"/>
  <c r="Y23" i="3" s="1"/>
  <c r="N26" i="12" s="1"/>
  <c r="M38" i="26"/>
  <c r="E282" i="26"/>
  <c r="I281" i="26"/>
  <c r="C286" i="25"/>
  <c r="G286" i="25" s="1"/>
  <c r="F286" i="25" s="1"/>
  <c r="I285" i="25"/>
  <c r="C212" i="27"/>
  <c r="I211" i="27"/>
  <c r="E212" i="27"/>
  <c r="G212" i="27" l="1"/>
  <c r="F212" i="27" s="1"/>
  <c r="H286" i="25"/>
  <c r="E287" i="25" s="1"/>
  <c r="G282" i="26"/>
  <c r="F282" i="26" s="1"/>
  <c r="H282" i="26" l="1"/>
  <c r="H212" i="27"/>
  <c r="C287" i="25"/>
  <c r="G287" i="25" s="1"/>
  <c r="F287" i="25" s="1"/>
  <c r="H287" i="25" s="1"/>
  <c r="I286" i="25"/>
  <c r="C288" i="25" l="1"/>
  <c r="I287" i="25"/>
  <c r="E288" i="25"/>
  <c r="C213" i="27"/>
  <c r="I212" i="27"/>
  <c r="E213" i="27"/>
  <c r="C283" i="26"/>
  <c r="G283" i="26" s="1"/>
  <c r="F283" i="26" s="1"/>
  <c r="H283" i="26" s="1"/>
  <c r="I282" i="26"/>
  <c r="C284" i="26" l="1"/>
  <c r="G284" i="26" s="1"/>
  <c r="F284" i="26" s="1"/>
  <c r="I283" i="26"/>
  <c r="G213" i="27"/>
  <c r="F213" i="27" s="1"/>
  <c r="H213" i="27" s="1"/>
  <c r="G288" i="25"/>
  <c r="F288" i="25" s="1"/>
  <c r="H288" i="25" s="1"/>
  <c r="C289" i="25" l="1"/>
  <c r="G289" i="25" s="1"/>
  <c r="F289" i="25" s="1"/>
  <c r="H289" i="25" s="1"/>
  <c r="E290" i="25" s="1"/>
  <c r="I288" i="25"/>
  <c r="C214" i="27"/>
  <c r="I213" i="27"/>
  <c r="E214" i="27"/>
  <c r="H284" i="26"/>
  <c r="C290" i="25" l="1"/>
  <c r="G290" i="25" s="1"/>
  <c r="F290" i="25" s="1"/>
  <c r="I289" i="25"/>
  <c r="C285" i="26"/>
  <c r="G285" i="26" s="1"/>
  <c r="F285" i="26" s="1"/>
  <c r="H285" i="26" s="1"/>
  <c r="I284" i="26"/>
  <c r="G214" i="27"/>
  <c r="F214" i="27" s="1"/>
  <c r="H214" i="27" s="1"/>
  <c r="C215" i="27" l="1"/>
  <c r="I214" i="27"/>
  <c r="E215" i="27"/>
  <c r="C286" i="26"/>
  <c r="G286" i="26" s="1"/>
  <c r="F286" i="26" s="1"/>
  <c r="H286" i="26" s="1"/>
  <c r="E287" i="26" s="1"/>
  <c r="I285" i="26"/>
  <c r="H290" i="25"/>
  <c r="C287" i="26" l="1"/>
  <c r="G287" i="26" s="1"/>
  <c r="F287" i="26" s="1"/>
  <c r="H287" i="26" s="1"/>
  <c r="I286" i="26"/>
  <c r="C291" i="25"/>
  <c r="I290" i="25"/>
  <c r="E291" i="25"/>
  <c r="G215" i="27"/>
  <c r="F215" i="27" s="1"/>
  <c r="G291" i="25" l="1"/>
  <c r="F291" i="25" s="1"/>
  <c r="H215" i="27"/>
  <c r="C288" i="26"/>
  <c r="I287" i="26"/>
  <c r="E288" i="26"/>
  <c r="H291" i="25" l="1"/>
  <c r="C216" i="27"/>
  <c r="I215" i="27"/>
  <c r="E216" i="27"/>
  <c r="G288" i="26"/>
  <c r="F288" i="26" s="1"/>
  <c r="H288" i="26" l="1"/>
  <c r="G216" i="27"/>
  <c r="F216" i="27" s="1"/>
  <c r="C292" i="25"/>
  <c r="G292" i="25" s="1"/>
  <c r="F292" i="25" s="1"/>
  <c r="H292" i="25" s="1"/>
  <c r="E293" i="25" s="1"/>
  <c r="I291" i="25"/>
  <c r="H216" i="27" l="1"/>
  <c r="C293" i="25"/>
  <c r="G293" i="25" s="1"/>
  <c r="F293" i="25" s="1"/>
  <c r="H293" i="25" s="1"/>
  <c r="I292" i="25"/>
  <c r="C289" i="26"/>
  <c r="G289" i="26" s="1"/>
  <c r="F289" i="26" s="1"/>
  <c r="H289" i="26" s="1"/>
  <c r="I288" i="26"/>
  <c r="N39" i="25"/>
  <c r="P39" i="25" l="1"/>
  <c r="C290" i="26"/>
  <c r="G290" i="26" s="1"/>
  <c r="F290" i="26" s="1"/>
  <c r="H290" i="26" s="1"/>
  <c r="I289" i="26"/>
  <c r="C294" i="25"/>
  <c r="D293" i="25"/>
  <c r="C217" i="27"/>
  <c r="I216" i="27"/>
  <c r="E217" i="27"/>
  <c r="O39" i="25"/>
  <c r="M39" i="25" l="1"/>
  <c r="C291" i="26"/>
  <c r="G291" i="26" s="1"/>
  <c r="F291" i="26" s="1"/>
  <c r="H291" i="26" s="1"/>
  <c r="I290" i="26"/>
  <c r="E294" i="25"/>
  <c r="G294" i="25" s="1"/>
  <c r="I293" i="25"/>
  <c r="G217" i="27"/>
  <c r="F217" i="27" s="1"/>
  <c r="H217" i="27" l="1"/>
  <c r="C292" i="26"/>
  <c r="G292" i="26" s="1"/>
  <c r="F292" i="26" s="1"/>
  <c r="I291" i="26"/>
  <c r="F294" i="25"/>
  <c r="H294" i="25" s="1"/>
  <c r="C295" i="25" l="1"/>
  <c r="G295" i="25" s="1"/>
  <c r="F295" i="25" s="1"/>
  <c r="H295" i="25" s="1"/>
  <c r="E296" i="25" s="1"/>
  <c r="I294" i="25"/>
  <c r="H292" i="26"/>
  <c r="E293" i="26" s="1"/>
  <c r="C218" i="27"/>
  <c r="I217" i="27"/>
  <c r="E218" i="27"/>
  <c r="G218" i="27" l="1"/>
  <c r="F218" i="27" s="1"/>
  <c r="H218" i="27" s="1"/>
  <c r="C293" i="26"/>
  <c r="G293" i="26" s="1"/>
  <c r="F293" i="26" s="1"/>
  <c r="H293" i="26" s="1"/>
  <c r="I292" i="26"/>
  <c r="C296" i="25"/>
  <c r="G296" i="25" s="1"/>
  <c r="F296" i="25" s="1"/>
  <c r="I295" i="25"/>
  <c r="N39" i="26"/>
  <c r="Z5" i="3" a="1"/>
  <c r="Z5" i="3" l="1"/>
  <c r="P39" i="26"/>
  <c r="C219" i="27"/>
  <c r="I218" i="27"/>
  <c r="E219" i="27"/>
  <c r="H296" i="25"/>
  <c r="C294" i="26"/>
  <c r="D293" i="26"/>
  <c r="O39" i="26"/>
  <c r="Z8" i="3"/>
  <c r="Z9" i="3" l="1"/>
  <c r="Z23" i="3" s="1"/>
  <c r="N27" i="12" s="1"/>
  <c r="M39" i="26"/>
  <c r="G219" i="27"/>
  <c r="F219" i="27" s="1"/>
  <c r="E294" i="26"/>
  <c r="I293" i="26"/>
  <c r="C297" i="25"/>
  <c r="I296" i="25"/>
  <c r="E297" i="25"/>
  <c r="H219" i="27" l="1"/>
  <c r="G294" i="26"/>
  <c r="F294" i="26" s="1"/>
  <c r="G297" i="25"/>
  <c r="F297" i="25" s="1"/>
  <c r="H297" i="25" s="1"/>
  <c r="H294" i="26" l="1"/>
  <c r="C298" i="25"/>
  <c r="G298" i="25" s="1"/>
  <c r="F298" i="25" s="1"/>
  <c r="H298" i="25" s="1"/>
  <c r="E299" i="25" s="1"/>
  <c r="I297" i="25"/>
  <c r="C220" i="27"/>
  <c r="I219" i="27"/>
  <c r="E220" i="27"/>
  <c r="G220" i="27" l="1"/>
  <c r="F220" i="27" s="1"/>
  <c r="C299" i="25"/>
  <c r="G299" i="25" s="1"/>
  <c r="F299" i="25" s="1"/>
  <c r="I298" i="25"/>
  <c r="C295" i="26"/>
  <c r="G295" i="26" s="1"/>
  <c r="F295" i="26" s="1"/>
  <c r="H295" i="26" s="1"/>
  <c r="I294" i="26"/>
  <c r="C296" i="26" l="1"/>
  <c r="G296" i="26" s="1"/>
  <c r="F296" i="26" s="1"/>
  <c r="H296" i="26" s="1"/>
  <c r="I295" i="26"/>
  <c r="H220" i="27"/>
  <c r="E221" i="27" s="1"/>
  <c r="H299" i="25"/>
  <c r="C221" i="27" l="1"/>
  <c r="G221" i="27" s="1"/>
  <c r="F221" i="27" s="1"/>
  <c r="I220" i="27"/>
  <c r="C297" i="26"/>
  <c r="G297" i="26" s="1"/>
  <c r="F297" i="26" s="1"/>
  <c r="I296" i="26"/>
  <c r="C300" i="25"/>
  <c r="I299" i="25"/>
  <c r="E300" i="25"/>
  <c r="N33" i="27"/>
  <c r="G300" i="25" l="1"/>
  <c r="F300" i="25" s="1"/>
  <c r="H300" i="25" s="1"/>
  <c r="P33" i="27"/>
  <c r="H297" i="26"/>
  <c r="H221" i="27"/>
  <c r="O33" i="27"/>
  <c r="M33" i="27" l="1"/>
  <c r="C301" i="25"/>
  <c r="G301" i="25" s="1"/>
  <c r="F301" i="25" s="1"/>
  <c r="H301" i="25" s="1"/>
  <c r="E302" i="25" s="1"/>
  <c r="I300" i="25"/>
  <c r="D221" i="27"/>
  <c r="C222" i="27"/>
  <c r="C298" i="26"/>
  <c r="G298" i="26" s="1"/>
  <c r="F298" i="26" s="1"/>
  <c r="H298" i="26" s="1"/>
  <c r="E299" i="26" s="1"/>
  <c r="I297" i="26"/>
  <c r="E222" i="27" l="1"/>
  <c r="I221" i="27"/>
  <c r="C299" i="26"/>
  <c r="G299" i="26" s="1"/>
  <c r="F299" i="26" s="1"/>
  <c r="I298" i="26"/>
  <c r="C302" i="25"/>
  <c r="G302" i="25" s="1"/>
  <c r="F302" i="25" s="1"/>
  <c r="H302" i="25" s="1"/>
  <c r="I301" i="25"/>
  <c r="H299" i="26" l="1"/>
  <c r="C303" i="25"/>
  <c r="I302" i="25"/>
  <c r="E303" i="25"/>
  <c r="G222" i="27"/>
  <c r="F222" i="27" s="1"/>
  <c r="H222" i="27" l="1"/>
  <c r="G303" i="25"/>
  <c r="F303" i="25" s="1"/>
  <c r="C300" i="26"/>
  <c r="I299" i="26"/>
  <c r="E300" i="26"/>
  <c r="H303" i="25" l="1"/>
  <c r="G300" i="26"/>
  <c r="F300" i="26" s="1"/>
  <c r="C223" i="27"/>
  <c r="I222" i="27"/>
  <c r="E223" i="27"/>
  <c r="H300" i="26" l="1"/>
  <c r="G223" i="27"/>
  <c r="F223" i="27" s="1"/>
  <c r="C304" i="25"/>
  <c r="G304" i="25" s="1"/>
  <c r="F304" i="25" s="1"/>
  <c r="H304" i="25" s="1"/>
  <c r="E305" i="25" s="1"/>
  <c r="I303" i="25"/>
  <c r="C305" i="25" l="1"/>
  <c r="G305" i="25" s="1"/>
  <c r="F305" i="25" s="1"/>
  <c r="I304" i="25"/>
  <c r="H223" i="27"/>
  <c r="C301" i="26"/>
  <c r="G301" i="26" s="1"/>
  <c r="F301" i="26" s="1"/>
  <c r="H301" i="26" s="1"/>
  <c r="I300" i="26"/>
  <c r="N40" i="25"/>
  <c r="P40" i="25" l="1"/>
  <c r="C302" i="26"/>
  <c r="G302" i="26" s="1"/>
  <c r="F302" i="26" s="1"/>
  <c r="H302" i="26" s="1"/>
  <c r="I301" i="26"/>
  <c r="C224" i="27"/>
  <c r="I223" i="27"/>
  <c r="E224" i="27"/>
  <c r="H305" i="25"/>
  <c r="O40" i="25"/>
  <c r="M40" i="25" l="1"/>
  <c r="C303" i="26"/>
  <c r="G303" i="26" s="1"/>
  <c r="F303" i="26" s="1"/>
  <c r="I302" i="26"/>
  <c r="G224" i="27"/>
  <c r="F224" i="27" s="1"/>
  <c r="C306" i="25"/>
  <c r="D305" i="25"/>
  <c r="H224" i="27" l="1"/>
  <c r="H303" i="26"/>
  <c r="E306" i="25"/>
  <c r="I305" i="25"/>
  <c r="C304" i="26" l="1"/>
  <c r="G304" i="26" s="1"/>
  <c r="F304" i="26" s="1"/>
  <c r="H304" i="26" s="1"/>
  <c r="E305" i="26" s="1"/>
  <c r="I303" i="26"/>
  <c r="G306" i="25"/>
  <c r="F306" i="25" s="1"/>
  <c r="C225" i="27"/>
  <c r="I224" i="27"/>
  <c r="E225" i="27"/>
  <c r="H306" i="25" l="1"/>
  <c r="G225" i="27"/>
  <c r="F225" i="27" s="1"/>
  <c r="H225" i="27" s="1"/>
  <c r="C305" i="26"/>
  <c r="G305" i="26" s="1"/>
  <c r="F305" i="26" s="1"/>
  <c r="I304" i="26"/>
  <c r="N40" i="26"/>
  <c r="AA5" i="3" a="1"/>
  <c r="AA5" i="3" l="1"/>
  <c r="P40" i="26"/>
  <c r="C226" i="27"/>
  <c r="I225" i="27"/>
  <c r="E226" i="27"/>
  <c r="H305" i="26"/>
  <c r="C307" i="25"/>
  <c r="G307" i="25" s="1"/>
  <c r="F307" i="25" s="1"/>
  <c r="H307" i="25" s="1"/>
  <c r="E308" i="25" s="1"/>
  <c r="I306" i="25"/>
  <c r="O40" i="26"/>
  <c r="AA8" i="3"/>
  <c r="AA9" i="3" l="1"/>
  <c r="AA23" i="3" s="1"/>
  <c r="N28" i="12" s="1"/>
  <c r="M40" i="26"/>
  <c r="C308" i="25"/>
  <c r="G308" i="25" s="1"/>
  <c r="F308" i="25" s="1"/>
  <c r="H308" i="25" s="1"/>
  <c r="I307" i="25"/>
  <c r="G226" i="27"/>
  <c r="F226" i="27" s="1"/>
  <c r="D305" i="26"/>
  <c r="C306" i="26"/>
  <c r="H226" i="27" l="1"/>
  <c r="C309" i="25"/>
  <c r="I308" i="25"/>
  <c r="E309" i="25"/>
  <c r="E306" i="26"/>
  <c r="G306" i="26" s="1"/>
  <c r="I305" i="26"/>
  <c r="F306" i="26" l="1"/>
  <c r="G309" i="25"/>
  <c r="F309" i="25" s="1"/>
  <c r="C227" i="27"/>
  <c r="I226" i="27"/>
  <c r="E227" i="27"/>
  <c r="H309" i="25" l="1"/>
  <c r="G227" i="27"/>
  <c r="F227" i="27" s="1"/>
  <c r="H227" i="27" s="1"/>
  <c r="H306" i="26"/>
  <c r="C228" i="27" l="1"/>
  <c r="I227" i="27"/>
  <c r="E228" i="27"/>
  <c r="C307" i="26"/>
  <c r="G307" i="26" s="1"/>
  <c r="F307" i="26" s="1"/>
  <c r="H307" i="26" s="1"/>
  <c r="I306" i="26"/>
  <c r="C310" i="25"/>
  <c r="G310" i="25" s="1"/>
  <c r="F310" i="25" s="1"/>
  <c r="I309" i="25"/>
  <c r="C308" i="26" l="1"/>
  <c r="G308" i="26" s="1"/>
  <c r="F308" i="26" s="1"/>
  <c r="H308" i="26" s="1"/>
  <c r="I307" i="26"/>
  <c r="H310" i="25"/>
  <c r="E311" i="25" s="1"/>
  <c r="G228" i="27"/>
  <c r="F228" i="27" s="1"/>
  <c r="C311" i="25" l="1"/>
  <c r="G311" i="25" s="1"/>
  <c r="F311" i="25" s="1"/>
  <c r="H311" i="25" s="1"/>
  <c r="I310" i="25"/>
  <c r="H228" i="27"/>
  <c r="C309" i="26"/>
  <c r="G309" i="26" s="1"/>
  <c r="F309" i="26" s="1"/>
  <c r="H309" i="26" s="1"/>
  <c r="I308" i="26"/>
  <c r="C310" i="26" l="1"/>
  <c r="G310" i="26" s="1"/>
  <c r="F310" i="26" s="1"/>
  <c r="H310" i="26" s="1"/>
  <c r="E311" i="26" s="1"/>
  <c r="I309" i="26"/>
  <c r="C312" i="25"/>
  <c r="I311" i="25"/>
  <c r="E312" i="25"/>
  <c r="C229" i="27"/>
  <c r="I228" i="27"/>
  <c r="E229" i="27"/>
  <c r="G312" i="25" l="1"/>
  <c r="F312" i="25" s="1"/>
  <c r="G229" i="27"/>
  <c r="F229" i="27" s="1"/>
  <c r="C311" i="26"/>
  <c r="G311" i="26" s="1"/>
  <c r="F311" i="26" s="1"/>
  <c r="I310" i="26"/>
  <c r="H229" i="27" l="1"/>
  <c r="H312" i="25"/>
  <c r="H311" i="26"/>
  <c r="C312" i="26" l="1"/>
  <c r="I311" i="26"/>
  <c r="E312" i="26"/>
  <c r="C313" i="25"/>
  <c r="G313" i="25" s="1"/>
  <c r="F313" i="25" s="1"/>
  <c r="H313" i="25" s="1"/>
  <c r="E314" i="25" s="1"/>
  <c r="I312" i="25"/>
  <c r="C230" i="27"/>
  <c r="I229" i="27"/>
  <c r="E230" i="27"/>
  <c r="C314" i="25" l="1"/>
  <c r="G314" i="25" s="1"/>
  <c r="F314" i="25" s="1"/>
  <c r="H314" i="25" s="1"/>
  <c r="I313" i="25"/>
  <c r="G230" i="27"/>
  <c r="F230" i="27" s="1"/>
  <c r="H230" i="27" s="1"/>
  <c r="G312" i="26"/>
  <c r="F312" i="26" s="1"/>
  <c r="C231" i="27" l="1"/>
  <c r="I230" i="27"/>
  <c r="E231" i="27"/>
  <c r="H312" i="26"/>
  <c r="C315" i="25"/>
  <c r="I314" i="25"/>
  <c r="E315" i="25"/>
  <c r="G315" i="25" l="1"/>
  <c r="F315" i="25" s="1"/>
  <c r="C313" i="26"/>
  <c r="G313" i="26" s="1"/>
  <c r="F313" i="26" s="1"/>
  <c r="I312" i="26"/>
  <c r="G231" i="27"/>
  <c r="F231" i="27" s="1"/>
  <c r="H231" i="27" l="1"/>
  <c r="H315" i="25"/>
  <c r="H313" i="26"/>
  <c r="C314" i="26" l="1"/>
  <c r="G314" i="26" s="1"/>
  <c r="F314" i="26" s="1"/>
  <c r="H314" i="26" s="1"/>
  <c r="I313" i="26"/>
  <c r="C316" i="25"/>
  <c r="G316" i="25" s="1"/>
  <c r="F316" i="25" s="1"/>
  <c r="H316" i="25" s="1"/>
  <c r="E317" i="25" s="1"/>
  <c r="I315" i="25"/>
  <c r="C232" i="27"/>
  <c r="I231" i="27"/>
  <c r="E232" i="27"/>
  <c r="G232" i="27" l="1"/>
  <c r="F232" i="27" s="1"/>
  <c r="H232" i="27" s="1"/>
  <c r="E233" i="27" s="1"/>
  <c r="C317" i="25"/>
  <c r="G317" i="25" s="1"/>
  <c r="F317" i="25" s="1"/>
  <c r="H317" i="25" s="1"/>
  <c r="I316" i="25"/>
  <c r="C315" i="26"/>
  <c r="G315" i="26" s="1"/>
  <c r="F315" i="26" s="1"/>
  <c r="H315" i="26" s="1"/>
  <c r="I314" i="26"/>
  <c r="N41" i="25"/>
  <c r="P41" i="25" l="1"/>
  <c r="C316" i="26"/>
  <c r="G316" i="26" s="1"/>
  <c r="F316" i="26" s="1"/>
  <c r="H316" i="26" s="1"/>
  <c r="E317" i="26" s="1"/>
  <c r="I315" i="26"/>
  <c r="C233" i="27"/>
  <c r="G233" i="27" s="1"/>
  <c r="F233" i="27" s="1"/>
  <c r="I232" i="27"/>
  <c r="C318" i="25"/>
  <c r="I317" i="25"/>
  <c r="E318" i="25"/>
  <c r="O41" i="25"/>
  <c r="N34" i="27"/>
  <c r="P34" i="27" l="1"/>
  <c r="M41" i="25"/>
  <c r="C317" i="26"/>
  <c r="G317" i="26" s="1"/>
  <c r="F317" i="26" s="1"/>
  <c r="H317" i="26" s="1"/>
  <c r="I316" i="26"/>
  <c r="H233" i="27"/>
  <c r="G318" i="25"/>
  <c r="F318" i="25" s="1"/>
  <c r="AB5" i="3" a="1"/>
  <c r="O34" i="27"/>
  <c r="N41" i="26"/>
  <c r="AB5" i="3" l="1"/>
  <c r="AR5" i="3" s="1"/>
  <c r="P41" i="26"/>
  <c r="M34" i="27"/>
  <c r="D233" i="27"/>
  <c r="C234" i="27"/>
  <c r="C318" i="26"/>
  <c r="I317" i="26"/>
  <c r="E318" i="26"/>
  <c r="H318" i="25"/>
  <c r="O41" i="26"/>
  <c r="AB8" i="3"/>
  <c r="G318" i="26" l="1"/>
  <c r="F318" i="26" s="1"/>
  <c r="AB9" i="3"/>
  <c r="AR8" i="3"/>
  <c r="M41" i="26"/>
  <c r="C319" i="25"/>
  <c r="G319" i="25" s="1"/>
  <c r="F319" i="25" s="1"/>
  <c r="I318" i="25"/>
  <c r="E234" i="27"/>
  <c r="G234" i="27" s="1"/>
  <c r="I233" i="27"/>
  <c r="H319" i="25" l="1"/>
  <c r="E320" i="25" s="1"/>
  <c r="F234" i="27"/>
  <c r="H234" i="27" s="1"/>
  <c r="H318" i="26"/>
  <c r="AB23" i="3"/>
  <c r="AR9" i="3"/>
  <c r="N29" i="12" l="1"/>
  <c r="AR23" i="3"/>
  <c r="C319" i="26"/>
  <c r="G319" i="26" s="1"/>
  <c r="F319" i="26" s="1"/>
  <c r="H319" i="26" s="1"/>
  <c r="I318" i="26"/>
  <c r="C235" i="27"/>
  <c r="I234" i="27"/>
  <c r="E235" i="27"/>
  <c r="C320" i="25"/>
  <c r="G320" i="25" s="1"/>
  <c r="F320" i="25" s="1"/>
  <c r="H320" i="25" s="1"/>
  <c r="I319" i="25"/>
  <c r="C321" i="25" l="1"/>
  <c r="I320" i="25"/>
  <c r="E321" i="25"/>
  <c r="C320" i="26"/>
  <c r="G320" i="26" s="1"/>
  <c r="F320" i="26" s="1"/>
  <c r="I319" i="26"/>
  <c r="G235" i="27"/>
  <c r="F235" i="27" s="1"/>
  <c r="H320" i="26" l="1"/>
  <c r="H235" i="27"/>
  <c r="G321" i="25"/>
  <c r="F321" i="25" s="1"/>
  <c r="H321" i="25" l="1"/>
  <c r="C236" i="27"/>
  <c r="I235" i="27"/>
  <c r="E236" i="27"/>
  <c r="C321" i="26"/>
  <c r="G321" i="26" s="1"/>
  <c r="F321" i="26" s="1"/>
  <c r="H321" i="26" s="1"/>
  <c r="I320" i="26"/>
  <c r="C322" i="26" l="1"/>
  <c r="G322" i="26" s="1"/>
  <c r="F322" i="26" s="1"/>
  <c r="H322" i="26" s="1"/>
  <c r="E323" i="26" s="1"/>
  <c r="I321" i="26"/>
  <c r="G236" i="27"/>
  <c r="F236" i="27" s="1"/>
  <c r="H236" i="27" s="1"/>
  <c r="C322" i="25"/>
  <c r="G322" i="25" s="1"/>
  <c r="F322" i="25" s="1"/>
  <c r="H322" i="25" s="1"/>
  <c r="E323" i="25" s="1"/>
  <c r="I321" i="25"/>
  <c r="C323" i="26" l="1"/>
  <c r="G323" i="26" s="1"/>
  <c r="F323" i="26" s="1"/>
  <c r="H323" i="26" s="1"/>
  <c r="I322" i="26"/>
  <c r="C237" i="27"/>
  <c r="I236" i="27"/>
  <c r="E237" i="27"/>
  <c r="C323" i="25"/>
  <c r="G323" i="25" s="1"/>
  <c r="F323" i="25" s="1"/>
  <c r="I322" i="25"/>
  <c r="G237" i="27" l="1"/>
  <c r="F237" i="27" s="1"/>
  <c r="H237" i="27" s="1"/>
  <c r="H323" i="25"/>
  <c r="C324" i="26"/>
  <c r="I323" i="26"/>
  <c r="E324" i="26"/>
  <c r="G324" i="26" l="1"/>
  <c r="F324" i="26" s="1"/>
  <c r="C238" i="27"/>
  <c r="I237" i="27"/>
  <c r="E238" i="27"/>
  <c r="C324" i="25"/>
  <c r="I323" i="25"/>
  <c r="E324" i="25"/>
  <c r="H324" i="26" l="1"/>
  <c r="G324" i="25"/>
  <c r="F324" i="25" s="1"/>
  <c r="G238" i="27"/>
  <c r="F238" i="27" s="1"/>
  <c r="H324" i="25" l="1"/>
  <c r="H238" i="27"/>
  <c r="C325" i="26"/>
  <c r="G325" i="26" s="1"/>
  <c r="F325" i="26" s="1"/>
  <c r="I324" i="26"/>
  <c r="H325" i="26" l="1"/>
  <c r="C239" i="27"/>
  <c r="I238" i="27"/>
  <c r="E239" i="27"/>
  <c r="C325" i="25"/>
  <c r="G325" i="25" s="1"/>
  <c r="F325" i="25" s="1"/>
  <c r="H325" i="25" s="1"/>
  <c r="E326" i="25" s="1"/>
  <c r="I324" i="25"/>
  <c r="C326" i="25" l="1"/>
  <c r="G326" i="25" s="1"/>
  <c r="F326" i="25" s="1"/>
  <c r="I325" i="25"/>
  <c r="G239" i="27"/>
  <c r="F239" i="27" s="1"/>
  <c r="C326" i="26"/>
  <c r="G326" i="26" s="1"/>
  <c r="F326" i="26" s="1"/>
  <c r="I325" i="26"/>
  <c r="H239" i="27" l="1"/>
  <c r="H326" i="26"/>
  <c r="H326" i="25"/>
  <c r="C327" i="25" l="1"/>
  <c r="I326" i="25"/>
  <c r="E327" i="25"/>
  <c r="C327" i="26"/>
  <c r="G327" i="26" s="1"/>
  <c r="F327" i="26" s="1"/>
  <c r="I326" i="26"/>
  <c r="C240" i="27"/>
  <c r="I239" i="27"/>
  <c r="E240" i="27"/>
  <c r="G240" i="27" l="1"/>
  <c r="F240" i="27" s="1"/>
  <c r="H240" i="27" s="1"/>
  <c r="H327" i="26"/>
  <c r="G327" i="25"/>
  <c r="F327" i="25" s="1"/>
  <c r="H327" i="25" l="1"/>
  <c r="C241" i="27"/>
  <c r="I240" i="27"/>
  <c r="E241" i="27"/>
  <c r="C328" i="26"/>
  <c r="G328" i="26" s="1"/>
  <c r="F328" i="26" s="1"/>
  <c r="H328" i="26" s="1"/>
  <c r="E329" i="26" s="1"/>
  <c r="I327" i="26"/>
  <c r="C329" i="26" l="1"/>
  <c r="G329" i="26" s="1"/>
  <c r="F329" i="26" s="1"/>
  <c r="I328" i="26"/>
  <c r="G241" i="27"/>
  <c r="F241" i="27" s="1"/>
  <c r="C328" i="25"/>
  <c r="G328" i="25" s="1"/>
  <c r="F328" i="25" s="1"/>
  <c r="H328" i="25" s="1"/>
  <c r="E329" i="25" s="1"/>
  <c r="I327" i="25"/>
  <c r="N42" i="26"/>
  <c r="AC5" i="3"/>
  <c r="P42" i="26" l="1"/>
  <c r="H241" i="27"/>
  <c r="C329" i="25"/>
  <c r="G329" i="25" s="1"/>
  <c r="F329" i="25" s="1"/>
  <c r="I328" i="25"/>
  <c r="H329" i="26"/>
  <c r="O42" i="26"/>
  <c r="N42" i="25"/>
  <c r="AC8" i="3"/>
  <c r="AC9" i="3" l="1"/>
  <c r="AC23" i="3" s="1"/>
  <c r="N30" i="12" s="1"/>
  <c r="P42" i="25"/>
  <c r="M42" i="26"/>
  <c r="C330" i="26"/>
  <c r="I329" i="26"/>
  <c r="E330" i="26"/>
  <c r="C242" i="27"/>
  <c r="I241" i="27"/>
  <c r="E242" i="27"/>
  <c r="H329" i="25"/>
  <c r="O42" i="25"/>
  <c r="M42" i="25" l="1"/>
  <c r="G330" i="26"/>
  <c r="F330" i="26" s="1"/>
  <c r="C330" i="25"/>
  <c r="I329" i="25"/>
  <c r="E330" i="25"/>
  <c r="G242" i="27"/>
  <c r="F242" i="27" s="1"/>
  <c r="H242" i="27" s="1"/>
  <c r="C243" i="27" l="1"/>
  <c r="I242" i="27"/>
  <c r="E243" i="27"/>
  <c r="G330" i="25"/>
  <c r="F330" i="25" s="1"/>
  <c r="H330" i="26"/>
  <c r="H330" i="25" l="1"/>
  <c r="C331" i="26"/>
  <c r="G331" i="26" s="1"/>
  <c r="F331" i="26" s="1"/>
  <c r="H331" i="26" s="1"/>
  <c r="I330" i="26"/>
  <c r="G243" i="27"/>
  <c r="F243" i="27" s="1"/>
  <c r="H243" i="27" l="1"/>
  <c r="C332" i="26"/>
  <c r="G332" i="26" s="1"/>
  <c r="F332" i="26" s="1"/>
  <c r="I331" i="26"/>
  <c r="C331" i="25"/>
  <c r="G331" i="25" s="1"/>
  <c r="F331" i="25" s="1"/>
  <c r="H331" i="25" s="1"/>
  <c r="E332" i="25" s="1"/>
  <c r="I330" i="25"/>
  <c r="H332" i="26" l="1"/>
  <c r="C332" i="25"/>
  <c r="G332" i="25" s="1"/>
  <c r="F332" i="25" s="1"/>
  <c r="I331" i="25"/>
  <c r="C244" i="27"/>
  <c r="I243" i="27"/>
  <c r="E244" i="27"/>
  <c r="G244" i="27" l="1"/>
  <c r="F244" i="27" s="1"/>
  <c r="H332" i="25"/>
  <c r="C333" i="26"/>
  <c r="G333" i="26" s="1"/>
  <c r="F333" i="26" s="1"/>
  <c r="I332" i="26"/>
  <c r="H244" i="27" l="1"/>
  <c r="E245" i="27" s="1"/>
  <c r="C333" i="25"/>
  <c r="I332" i="25"/>
  <c r="E333" i="25"/>
  <c r="H333" i="26"/>
  <c r="C334" i="26" l="1"/>
  <c r="G334" i="26" s="1"/>
  <c r="F334" i="26" s="1"/>
  <c r="H334" i="26" s="1"/>
  <c r="E335" i="26" s="1"/>
  <c r="I333" i="26"/>
  <c r="G333" i="25"/>
  <c r="F333" i="25" s="1"/>
  <c r="H333" i="25" s="1"/>
  <c r="C245" i="27"/>
  <c r="G245" i="27" s="1"/>
  <c r="F245" i="27" s="1"/>
  <c r="H245" i="27" s="1"/>
  <c r="I244" i="27"/>
  <c r="N35" i="27"/>
  <c r="P35" i="27" l="1"/>
  <c r="C335" i="26"/>
  <c r="G335" i="26" s="1"/>
  <c r="F335" i="26" s="1"/>
  <c r="I334" i="26"/>
  <c r="C334" i="25"/>
  <c r="G334" i="25" s="1"/>
  <c r="F334" i="25" s="1"/>
  <c r="H334" i="25" s="1"/>
  <c r="E335" i="25" s="1"/>
  <c r="I333" i="25"/>
  <c r="D245" i="27"/>
  <c r="C246" i="27"/>
  <c r="O35" i="27"/>
  <c r="M35" i="27" l="1"/>
  <c r="H335" i="26"/>
  <c r="E246" i="27"/>
  <c r="I245" i="27"/>
  <c r="C335" i="25"/>
  <c r="G335" i="25" s="1"/>
  <c r="F335" i="25" s="1"/>
  <c r="I334" i="25"/>
  <c r="C336" i="26" l="1"/>
  <c r="I335" i="26"/>
  <c r="E336" i="26"/>
  <c r="G246" i="27"/>
  <c r="F246" i="27" s="1"/>
  <c r="H335" i="25"/>
  <c r="H246" i="27" l="1"/>
  <c r="C336" i="25"/>
  <c r="I335" i="25"/>
  <c r="E336" i="25"/>
  <c r="G336" i="26"/>
  <c r="F336" i="26" s="1"/>
  <c r="H336" i="26" l="1"/>
  <c r="G336" i="25"/>
  <c r="F336" i="25" s="1"/>
  <c r="C247" i="27"/>
  <c r="I246" i="27"/>
  <c r="E247" i="27"/>
  <c r="H336" i="25" l="1"/>
  <c r="G247" i="27"/>
  <c r="F247" i="27" s="1"/>
  <c r="C337" i="26"/>
  <c r="G337" i="26" s="1"/>
  <c r="F337" i="26" s="1"/>
  <c r="I336" i="26"/>
  <c r="H247" i="27" l="1"/>
  <c r="H337" i="26"/>
  <c r="C337" i="25"/>
  <c r="G337" i="25" s="1"/>
  <c r="F337" i="25" s="1"/>
  <c r="I336" i="25"/>
  <c r="C338" i="26" l="1"/>
  <c r="G338" i="26" s="1"/>
  <c r="F338" i="26" s="1"/>
  <c r="H338" i="26" s="1"/>
  <c r="I337" i="26"/>
  <c r="H337" i="25"/>
  <c r="E338" i="25" s="1"/>
  <c r="C248" i="27"/>
  <c r="I247" i="27"/>
  <c r="E248" i="27"/>
  <c r="C339" i="26" l="1"/>
  <c r="G339" i="26" s="1"/>
  <c r="F339" i="26" s="1"/>
  <c r="I338" i="26"/>
  <c r="G248" i="27"/>
  <c r="F248" i="27" s="1"/>
  <c r="C338" i="25"/>
  <c r="G338" i="25" s="1"/>
  <c r="F338" i="25" s="1"/>
  <c r="H338" i="25" s="1"/>
  <c r="I337" i="25"/>
  <c r="H248" i="27" l="1"/>
  <c r="C339" i="25"/>
  <c r="I338" i="25"/>
  <c r="E339" i="25"/>
  <c r="H339" i="26"/>
  <c r="C340" i="26" l="1"/>
  <c r="G340" i="26" s="1"/>
  <c r="F340" i="26" s="1"/>
  <c r="H340" i="26" s="1"/>
  <c r="E341" i="26" s="1"/>
  <c r="I339" i="26"/>
  <c r="G339" i="25"/>
  <c r="F339" i="25" s="1"/>
  <c r="H339" i="25" s="1"/>
  <c r="C249" i="27"/>
  <c r="I248" i="27"/>
  <c r="E249" i="27"/>
  <c r="C340" i="25" l="1"/>
  <c r="G340" i="25" s="1"/>
  <c r="F340" i="25" s="1"/>
  <c r="H340" i="25" s="1"/>
  <c r="E341" i="25" s="1"/>
  <c r="I339" i="25"/>
  <c r="C341" i="26"/>
  <c r="G341" i="26" s="1"/>
  <c r="F341" i="26" s="1"/>
  <c r="H341" i="26" s="1"/>
  <c r="I340" i="26"/>
  <c r="G249" i="27"/>
  <c r="F249" i="27" s="1"/>
  <c r="H249" i="27" s="1"/>
  <c r="N43" i="26"/>
  <c r="AD5" i="3"/>
  <c r="P43" i="26" l="1"/>
  <c r="C341" i="25"/>
  <c r="G341" i="25" s="1"/>
  <c r="F341" i="25" s="1"/>
  <c r="I340" i="25"/>
  <c r="C342" i="26"/>
  <c r="I341" i="26"/>
  <c r="E342" i="26"/>
  <c r="C250" i="27"/>
  <c r="I249" i="27"/>
  <c r="E250" i="27"/>
  <c r="O43" i="26"/>
  <c r="AD8" i="3"/>
  <c r="N43" i="25"/>
  <c r="G342" i="26" l="1"/>
  <c r="F342" i="26" s="1"/>
  <c r="H342" i="26" s="1"/>
  <c r="AD9" i="3"/>
  <c r="AD23" i="3" s="1"/>
  <c r="N31" i="12" s="1"/>
  <c r="P43" i="25"/>
  <c r="M43" i="26"/>
  <c r="H341" i="25"/>
  <c r="G250" i="27"/>
  <c r="F250" i="27" s="1"/>
  <c r="H250" i="27" s="1"/>
  <c r="O43" i="25"/>
  <c r="M43" i="25" l="1"/>
  <c r="C343" i="26"/>
  <c r="G343" i="26" s="1"/>
  <c r="F343" i="26" s="1"/>
  <c r="H343" i="26" s="1"/>
  <c r="I342" i="26"/>
  <c r="C251" i="27"/>
  <c r="I250" i="27"/>
  <c r="E251" i="27"/>
  <c r="C342" i="25"/>
  <c r="I341" i="25"/>
  <c r="E342" i="25"/>
  <c r="C344" i="26" l="1"/>
  <c r="G344" i="26" s="1"/>
  <c r="F344" i="26" s="1"/>
  <c r="H344" i="26" s="1"/>
  <c r="I343" i="26"/>
  <c r="G342" i="25"/>
  <c r="F342" i="25" s="1"/>
  <c r="G251" i="27"/>
  <c r="F251" i="27" s="1"/>
  <c r="H251" i="27" l="1"/>
  <c r="C345" i="26"/>
  <c r="G345" i="26" s="1"/>
  <c r="F345" i="26" s="1"/>
  <c r="H345" i="26" s="1"/>
  <c r="I344" i="26"/>
  <c r="H342" i="25"/>
  <c r="C346" i="26" l="1"/>
  <c r="G346" i="26" s="1"/>
  <c r="F346" i="26" s="1"/>
  <c r="H346" i="26" s="1"/>
  <c r="E347" i="26" s="1"/>
  <c r="I345" i="26"/>
  <c r="C343" i="25"/>
  <c r="G343" i="25" s="1"/>
  <c r="F343" i="25" s="1"/>
  <c r="H343" i="25" s="1"/>
  <c r="E344" i="25" s="1"/>
  <c r="I342" i="25"/>
  <c r="C252" i="27"/>
  <c r="I251" i="27"/>
  <c r="E252" i="27"/>
  <c r="G252" i="27" l="1"/>
  <c r="F252" i="27" s="1"/>
  <c r="H252" i="27" s="1"/>
  <c r="C344" i="25"/>
  <c r="G344" i="25" s="1"/>
  <c r="F344" i="25" s="1"/>
  <c r="I343" i="25"/>
  <c r="C347" i="26"/>
  <c r="G347" i="26" s="1"/>
  <c r="F347" i="26" s="1"/>
  <c r="I346" i="26"/>
  <c r="C253" i="27" l="1"/>
  <c r="I252" i="27"/>
  <c r="E253" i="27"/>
  <c r="H347" i="26"/>
  <c r="H344" i="25"/>
  <c r="C345" i="25" l="1"/>
  <c r="I344" i="25"/>
  <c r="E345" i="25"/>
  <c r="C348" i="26"/>
  <c r="I347" i="26"/>
  <c r="E348" i="26"/>
  <c r="G253" i="27"/>
  <c r="F253" i="27" s="1"/>
  <c r="H253" i="27" l="1"/>
  <c r="G348" i="26"/>
  <c r="F348" i="26" s="1"/>
  <c r="G345" i="25"/>
  <c r="F345" i="25" s="1"/>
  <c r="H348" i="26" l="1"/>
  <c r="H345" i="25"/>
  <c r="C254" i="27"/>
  <c r="I253" i="27"/>
  <c r="E254" i="27"/>
  <c r="G254" i="27" l="1"/>
  <c r="F254" i="27" s="1"/>
  <c r="C346" i="25"/>
  <c r="G346" i="25" s="1"/>
  <c r="F346" i="25" s="1"/>
  <c r="I345" i="25"/>
  <c r="C349" i="26"/>
  <c r="G349" i="26" s="1"/>
  <c r="F349" i="26" s="1"/>
  <c r="H349" i="26" s="1"/>
  <c r="I348" i="26"/>
  <c r="C350" i="26" l="1"/>
  <c r="G350" i="26" s="1"/>
  <c r="F350" i="26" s="1"/>
  <c r="I349" i="26"/>
  <c r="H254" i="27"/>
  <c r="H346" i="25"/>
  <c r="E347" i="25" s="1"/>
  <c r="C255" i="27" l="1"/>
  <c r="I254" i="27"/>
  <c r="E255" i="27"/>
  <c r="C347" i="25"/>
  <c r="G347" i="25" s="1"/>
  <c r="F347" i="25" s="1"/>
  <c r="I346" i="25"/>
  <c r="H350" i="26"/>
  <c r="C351" i="26" l="1"/>
  <c r="G351" i="26" s="1"/>
  <c r="F351" i="26" s="1"/>
  <c r="H351" i="26" s="1"/>
  <c r="I350" i="26"/>
  <c r="H347" i="25"/>
  <c r="G255" i="27"/>
  <c r="F255" i="27" s="1"/>
  <c r="H255" i="27" l="1"/>
  <c r="C348" i="25"/>
  <c r="I347" i="25"/>
  <c r="E348" i="25"/>
  <c r="C352" i="26"/>
  <c r="G352" i="26" s="1"/>
  <c r="F352" i="26" s="1"/>
  <c r="H352" i="26" s="1"/>
  <c r="E353" i="26" s="1"/>
  <c r="I351" i="26"/>
  <c r="C353" i="26" l="1"/>
  <c r="G353" i="26" s="1"/>
  <c r="F353" i="26" s="1"/>
  <c r="H353" i="26" s="1"/>
  <c r="I352" i="26"/>
  <c r="G348" i="25"/>
  <c r="F348" i="25" s="1"/>
  <c r="C256" i="27"/>
  <c r="I255" i="27"/>
  <c r="E256" i="27"/>
  <c r="N44" i="26"/>
  <c r="AE5" i="3"/>
  <c r="P44" i="26" l="1"/>
  <c r="H348" i="25"/>
  <c r="C354" i="26"/>
  <c r="I353" i="26"/>
  <c r="E354" i="26"/>
  <c r="G256" i="27"/>
  <c r="F256" i="27" s="1"/>
  <c r="O44" i="26"/>
  <c r="AE8" i="3"/>
  <c r="AE9" i="3" l="1"/>
  <c r="AE23" i="3" s="1"/>
  <c r="N32" i="12" s="1"/>
  <c r="M44" i="26"/>
  <c r="H256" i="27"/>
  <c r="E257" i="27" s="1"/>
  <c r="G354" i="26"/>
  <c r="F354" i="26" s="1"/>
  <c r="C349" i="25"/>
  <c r="G349" i="25" s="1"/>
  <c r="F349" i="25" s="1"/>
  <c r="H349" i="25" s="1"/>
  <c r="E350" i="25" s="1"/>
  <c r="I348" i="25"/>
  <c r="C350" i="25" l="1"/>
  <c r="G350" i="25" s="1"/>
  <c r="F350" i="25" s="1"/>
  <c r="I349" i="25"/>
  <c r="C257" i="27"/>
  <c r="G257" i="27" s="1"/>
  <c r="F257" i="27" s="1"/>
  <c r="I256" i="27"/>
  <c r="H354" i="26"/>
  <c r="N36" i="27"/>
  <c r="P36" i="27" l="1"/>
  <c r="H257" i="27"/>
  <c r="C355" i="26"/>
  <c r="G355" i="26" s="1"/>
  <c r="F355" i="26" s="1"/>
  <c r="I354" i="26"/>
  <c r="H350" i="25"/>
  <c r="O36" i="27"/>
  <c r="M36" i="27" l="1"/>
  <c r="C351" i="25"/>
  <c r="I350" i="25"/>
  <c r="E351" i="25"/>
  <c r="H355" i="26"/>
  <c r="D257" i="27"/>
  <c r="C258" i="27"/>
  <c r="E258" i="27" l="1"/>
  <c r="I257" i="27"/>
  <c r="C356" i="26"/>
  <c r="G356" i="26" s="1"/>
  <c r="F356" i="26" s="1"/>
  <c r="I355" i="26"/>
  <c r="G351" i="25"/>
  <c r="F351" i="25" s="1"/>
  <c r="H351" i="25" s="1"/>
  <c r="H356" i="26" l="1"/>
  <c r="C352" i="25"/>
  <c r="G352" i="25" s="1"/>
  <c r="F352" i="25" s="1"/>
  <c r="H352" i="25" s="1"/>
  <c r="E353" i="25" s="1"/>
  <c r="I351" i="25"/>
  <c r="G258" i="27"/>
  <c r="F258" i="27" s="1"/>
  <c r="H258" i="27" l="1"/>
  <c r="C353" i="25"/>
  <c r="G353" i="25" s="1"/>
  <c r="F353" i="25" s="1"/>
  <c r="H353" i="25" s="1"/>
  <c r="I352" i="25"/>
  <c r="C357" i="26"/>
  <c r="G357" i="26" s="1"/>
  <c r="F357" i="26" s="1"/>
  <c r="H357" i="26" s="1"/>
  <c r="I356" i="26"/>
  <c r="N44" i="25"/>
  <c r="P44" i="25" l="1"/>
  <c r="C354" i="25"/>
  <c r="I353" i="25"/>
  <c r="E354" i="25"/>
  <c r="C358" i="26"/>
  <c r="G358" i="26" s="1"/>
  <c r="F358" i="26" s="1"/>
  <c r="I357" i="26"/>
  <c r="C259" i="27"/>
  <c r="I258" i="27"/>
  <c r="E259" i="27"/>
  <c r="O44" i="25"/>
  <c r="G354" i="25" l="1"/>
  <c r="F354" i="25" s="1"/>
  <c r="H354" i="25" s="1"/>
  <c r="M44" i="25"/>
  <c r="H358" i="26"/>
  <c r="E359" i="26" s="1"/>
  <c r="G259" i="27"/>
  <c r="F259" i="27" s="1"/>
  <c r="C355" i="25" l="1"/>
  <c r="G355" i="25" s="1"/>
  <c r="F355" i="25" s="1"/>
  <c r="I354" i="25"/>
  <c r="H259" i="27"/>
  <c r="C359" i="26"/>
  <c r="G359" i="26" s="1"/>
  <c r="F359" i="26" s="1"/>
  <c r="H359" i="26" s="1"/>
  <c r="I358" i="26"/>
  <c r="C360" i="26" l="1"/>
  <c r="I359" i="26"/>
  <c r="E360" i="26"/>
  <c r="C260" i="27"/>
  <c r="I259" i="27"/>
  <c r="E260" i="27"/>
  <c r="H355" i="25"/>
  <c r="E356" i="25" s="1"/>
  <c r="C356" i="25" l="1"/>
  <c r="G356" i="25" s="1"/>
  <c r="F356" i="25" s="1"/>
  <c r="I355" i="25"/>
  <c r="G260" i="27"/>
  <c r="F260" i="27" s="1"/>
  <c r="G360" i="26"/>
  <c r="F360" i="26" s="1"/>
  <c r="H360" i="26" s="1"/>
  <c r="C361" i="26" l="1"/>
  <c r="G361" i="26" s="1"/>
  <c r="F361" i="26" s="1"/>
  <c r="I360" i="26"/>
  <c r="H260" i="27"/>
  <c r="H356" i="25"/>
  <c r="C357" i="25" l="1"/>
  <c r="I356" i="25"/>
  <c r="E357" i="25"/>
  <c r="C261" i="27"/>
  <c r="I260" i="27"/>
  <c r="E261" i="27"/>
  <c r="H361" i="26"/>
  <c r="C362" i="26" l="1"/>
  <c r="G362" i="26" s="1"/>
  <c r="F362" i="26" s="1"/>
  <c r="H362" i="26" s="1"/>
  <c r="I361" i="26"/>
  <c r="G261" i="27"/>
  <c r="F261" i="27" s="1"/>
  <c r="H261" i="27" s="1"/>
  <c r="G357" i="25"/>
  <c r="F357" i="25" s="1"/>
  <c r="H357" i="25" s="1"/>
  <c r="C358" i="25" l="1"/>
  <c r="G358" i="25" s="1"/>
  <c r="F358" i="25" s="1"/>
  <c r="H358" i="25" s="1"/>
  <c r="E359" i="25" s="1"/>
  <c r="I357" i="25"/>
  <c r="C363" i="26"/>
  <c r="G363" i="26" s="1"/>
  <c r="F363" i="26" s="1"/>
  <c r="H363" i="26" s="1"/>
  <c r="I362" i="26"/>
  <c r="C262" i="27"/>
  <c r="I261" i="27"/>
  <c r="E262" i="27"/>
  <c r="C364" i="26" l="1"/>
  <c r="G364" i="26" s="1"/>
  <c r="F364" i="26" s="1"/>
  <c r="I363" i="26"/>
  <c r="C359" i="25"/>
  <c r="G359" i="25" s="1"/>
  <c r="F359" i="25" s="1"/>
  <c r="I358" i="25"/>
  <c r="G262" i="27"/>
  <c r="F262" i="27" s="1"/>
  <c r="H262" i="27" l="1"/>
  <c r="H359" i="25"/>
  <c r="H364" i="26"/>
  <c r="E365" i="26" s="1"/>
  <c r="C365" i="26" l="1"/>
  <c r="G365" i="26" s="1"/>
  <c r="F365" i="26" s="1"/>
  <c r="H365" i="26" s="1"/>
  <c r="I364" i="26"/>
  <c r="C360" i="25"/>
  <c r="I359" i="25"/>
  <c r="E360" i="25"/>
  <c r="C263" i="27"/>
  <c r="I262" i="27"/>
  <c r="E263" i="27"/>
  <c r="N45" i="26"/>
  <c r="AF5" i="3"/>
  <c r="P45" i="26" l="1"/>
  <c r="G263" i="27"/>
  <c r="F263" i="27" s="1"/>
  <c r="G360" i="25"/>
  <c r="F360" i="25" s="1"/>
  <c r="C366" i="26"/>
  <c r="I365" i="26"/>
  <c r="E366" i="26"/>
  <c r="O45" i="26"/>
  <c r="AF8" i="3"/>
  <c r="AF9" i="3" l="1"/>
  <c r="AF23" i="3" s="1"/>
  <c r="N33" i="12" s="1"/>
  <c r="M45" i="26"/>
  <c r="H360" i="25"/>
  <c r="G366" i="26"/>
  <c r="F366" i="26" s="1"/>
  <c r="H263" i="27"/>
  <c r="C264" i="27" l="1"/>
  <c r="I263" i="27"/>
  <c r="E264" i="27"/>
  <c r="H366" i="26"/>
  <c r="C361" i="25"/>
  <c r="G361" i="25" s="1"/>
  <c r="F361" i="25" s="1"/>
  <c r="I360" i="25"/>
  <c r="H361" i="25" l="1"/>
  <c r="E362" i="25" s="1"/>
  <c r="C367" i="26"/>
  <c r="G367" i="26" s="1"/>
  <c r="F367" i="26" s="1"/>
  <c r="I366" i="26"/>
  <c r="G264" i="27"/>
  <c r="F264" i="27" s="1"/>
  <c r="H264" i="27" l="1"/>
  <c r="H367" i="26"/>
  <c r="C362" i="25"/>
  <c r="G362" i="25" s="1"/>
  <c r="F362" i="25" s="1"/>
  <c r="I361" i="25"/>
  <c r="C368" i="26" l="1"/>
  <c r="G368" i="26" s="1"/>
  <c r="F368" i="26" s="1"/>
  <c r="H368" i="26" s="1"/>
  <c r="I367" i="26"/>
  <c r="H362" i="25"/>
  <c r="C265" i="27"/>
  <c r="I264" i="27"/>
  <c r="E265" i="27"/>
  <c r="C369" i="26" l="1"/>
  <c r="G369" i="26" s="1"/>
  <c r="F369" i="26" s="1"/>
  <c r="H369" i="26" s="1"/>
  <c r="I368" i="26"/>
  <c r="C363" i="25"/>
  <c r="I362" i="25"/>
  <c r="E363" i="25"/>
  <c r="G265" i="27"/>
  <c r="F265" i="27" s="1"/>
  <c r="H265" i="27" l="1"/>
  <c r="C370" i="26"/>
  <c r="G370" i="26" s="1"/>
  <c r="F370" i="26" s="1"/>
  <c r="H370" i="26" s="1"/>
  <c r="E371" i="26" s="1"/>
  <c r="I369" i="26"/>
  <c r="G363" i="25"/>
  <c r="F363" i="25" s="1"/>
  <c r="H363" i="25" l="1"/>
  <c r="C371" i="26"/>
  <c r="G371" i="26" s="1"/>
  <c r="F371" i="26" s="1"/>
  <c r="H371" i="26" s="1"/>
  <c r="I370" i="26"/>
  <c r="C266" i="27"/>
  <c r="I265" i="27"/>
  <c r="E266" i="27"/>
  <c r="G266" i="27" l="1"/>
  <c r="F266" i="27" s="1"/>
  <c r="C372" i="26"/>
  <c r="I371" i="26"/>
  <c r="E372" i="26"/>
  <c r="C364" i="25"/>
  <c r="G364" i="25" s="1"/>
  <c r="F364" i="25" s="1"/>
  <c r="I363" i="25"/>
  <c r="H266" i="27" l="1"/>
  <c r="G372" i="26"/>
  <c r="F372" i="26" s="1"/>
  <c r="H364" i="25"/>
  <c r="E365" i="25" s="1"/>
  <c r="H372" i="26" l="1"/>
  <c r="C365" i="25"/>
  <c r="G365" i="25" s="1"/>
  <c r="F365" i="25" s="1"/>
  <c r="H365" i="25" s="1"/>
  <c r="I364" i="25"/>
  <c r="C267" i="27"/>
  <c r="I266" i="27"/>
  <c r="E267" i="27"/>
  <c r="N45" i="25"/>
  <c r="P45" i="25" l="1"/>
  <c r="G267" i="27"/>
  <c r="F267" i="27" s="1"/>
  <c r="C366" i="25"/>
  <c r="I365" i="25"/>
  <c r="E366" i="25"/>
  <c r="C373" i="26"/>
  <c r="G373" i="26" s="1"/>
  <c r="F373" i="26" s="1"/>
  <c r="I372" i="26"/>
  <c r="O45" i="25"/>
  <c r="G366" i="25" l="1"/>
  <c r="F366" i="25" s="1"/>
  <c r="M45" i="25"/>
  <c r="H267" i="27"/>
  <c r="H373" i="26"/>
  <c r="C374" i="26" l="1"/>
  <c r="G374" i="26" s="1"/>
  <c r="F374" i="26" s="1"/>
  <c r="H374" i="26" s="1"/>
  <c r="I373" i="26"/>
  <c r="C268" i="27"/>
  <c r="I267" i="27"/>
  <c r="E268" i="27"/>
  <c r="H366" i="25"/>
  <c r="C367" i="25" l="1"/>
  <c r="G367" i="25" s="1"/>
  <c r="F367" i="25" s="1"/>
  <c r="H367" i="25" s="1"/>
  <c r="E368" i="25" s="1"/>
  <c r="I366" i="25"/>
  <c r="G268" i="27"/>
  <c r="F268" i="27" s="1"/>
  <c r="C375" i="26"/>
  <c r="G375" i="26" s="1"/>
  <c r="F375" i="26" s="1"/>
  <c r="H375" i="26" s="1"/>
  <c r="I374" i="26"/>
  <c r="C376" i="26" l="1"/>
  <c r="G376" i="26" s="1"/>
  <c r="F376" i="26" s="1"/>
  <c r="I375" i="26"/>
  <c r="H268" i="27"/>
  <c r="E269" i="27" s="1"/>
  <c r="C368" i="25"/>
  <c r="G368" i="25" s="1"/>
  <c r="F368" i="25" s="1"/>
  <c r="I367" i="25"/>
  <c r="C269" i="27" l="1"/>
  <c r="G269" i="27" s="1"/>
  <c r="F269" i="27" s="1"/>
  <c r="I268" i="27"/>
  <c r="H368" i="25"/>
  <c r="H376" i="26"/>
  <c r="E377" i="26" s="1"/>
  <c r="N37" i="27"/>
  <c r="P37" i="27" l="1"/>
  <c r="C369" i="25"/>
  <c r="I368" i="25"/>
  <c r="E369" i="25"/>
  <c r="C377" i="26"/>
  <c r="G377" i="26" s="1"/>
  <c r="F377" i="26" s="1"/>
  <c r="I376" i="26"/>
  <c r="H269" i="27"/>
  <c r="O37" i="27"/>
  <c r="AG5" i="3"/>
  <c r="N46" i="26"/>
  <c r="P46" i="26" l="1"/>
  <c r="M37" i="27"/>
  <c r="H377" i="26"/>
  <c r="G369" i="25"/>
  <c r="F369" i="25" s="1"/>
  <c r="D269" i="27"/>
  <c r="C270" i="27"/>
  <c r="O46" i="26"/>
  <c r="AG8" i="3"/>
  <c r="AG9" i="3" l="1"/>
  <c r="AG23" i="3" s="1"/>
  <c r="N34" i="12" s="1"/>
  <c r="M46" i="26"/>
  <c r="H369" i="25"/>
  <c r="E270" i="27"/>
  <c r="G270" i="27" s="1"/>
  <c r="I269" i="27"/>
  <c r="C378" i="26"/>
  <c r="I377" i="26"/>
  <c r="E378" i="26"/>
  <c r="G378" i="26" l="1"/>
  <c r="F378" i="26" s="1"/>
  <c r="C370" i="25"/>
  <c r="G370" i="25" s="1"/>
  <c r="F370" i="25" s="1"/>
  <c r="I369" i="25"/>
  <c r="F270" i="27"/>
  <c r="H270" i="27" s="1"/>
  <c r="C271" i="27" l="1"/>
  <c r="I270" i="27"/>
  <c r="E271" i="27"/>
  <c r="H370" i="25"/>
  <c r="E371" i="25" s="1"/>
  <c r="H378" i="26"/>
  <c r="C379" i="26" l="1"/>
  <c r="G379" i="26" s="1"/>
  <c r="F379" i="26" s="1"/>
  <c r="H379" i="26" s="1"/>
  <c r="I378" i="26"/>
  <c r="C371" i="25"/>
  <c r="G371" i="25" s="1"/>
  <c r="F371" i="25" s="1"/>
  <c r="I370" i="25"/>
  <c r="G271" i="27"/>
  <c r="F271" i="27" s="1"/>
  <c r="H271" i="27" s="1"/>
  <c r="C272" i="27" l="1"/>
  <c r="I271" i="27"/>
  <c r="E272" i="27"/>
  <c r="C380" i="26"/>
  <c r="G380" i="26" s="1"/>
  <c r="F380" i="26" s="1"/>
  <c r="H380" i="26" s="1"/>
  <c r="I379" i="26"/>
  <c r="H371" i="25"/>
  <c r="C381" i="26" l="1"/>
  <c r="G381" i="26" s="1"/>
  <c r="F381" i="26" s="1"/>
  <c r="H381" i="26" s="1"/>
  <c r="I380" i="26"/>
  <c r="C372" i="25"/>
  <c r="I371" i="25"/>
  <c r="E372" i="25"/>
  <c r="G272" i="27"/>
  <c r="F272" i="27" s="1"/>
  <c r="H272" i="27" l="1"/>
  <c r="C382" i="26"/>
  <c r="G382" i="26" s="1"/>
  <c r="F382" i="26" s="1"/>
  <c r="H382" i="26" s="1"/>
  <c r="E383" i="26" s="1"/>
  <c r="I381" i="26"/>
  <c r="G372" i="25"/>
  <c r="F372" i="25" s="1"/>
  <c r="H372" i="25" s="1"/>
  <c r="C383" i="26" l="1"/>
  <c r="G383" i="26" s="1"/>
  <c r="F383" i="26" s="1"/>
  <c r="H383" i="26" s="1"/>
  <c r="I382" i="26"/>
  <c r="C373" i="25"/>
  <c r="G373" i="25" s="1"/>
  <c r="F373" i="25" s="1"/>
  <c r="I372" i="25"/>
  <c r="C273" i="27"/>
  <c r="I272" i="27"/>
  <c r="E273" i="27"/>
  <c r="G273" i="27" l="1"/>
  <c r="F273" i="27" s="1"/>
  <c r="H373" i="25"/>
  <c r="E374" i="25" s="1"/>
  <c r="C384" i="26"/>
  <c r="I383" i="26"/>
  <c r="E384" i="26"/>
  <c r="G384" i="26" l="1"/>
  <c r="F384" i="26" s="1"/>
  <c r="H384" i="26" s="1"/>
  <c r="C374" i="25"/>
  <c r="G374" i="25" s="1"/>
  <c r="F374" i="25" s="1"/>
  <c r="I373" i="25"/>
  <c r="H273" i="27"/>
  <c r="C385" i="26" l="1"/>
  <c r="G385" i="26" s="1"/>
  <c r="F385" i="26" s="1"/>
  <c r="H385" i="26" s="1"/>
  <c r="I384" i="26"/>
  <c r="H374" i="25"/>
  <c r="C274" i="27"/>
  <c r="I273" i="27"/>
  <c r="E274" i="27"/>
  <c r="G274" i="27" l="1"/>
  <c r="F274" i="27" s="1"/>
  <c r="C375" i="25"/>
  <c r="I374" i="25"/>
  <c r="E375" i="25"/>
  <c r="C386" i="26"/>
  <c r="G386" i="26" s="1"/>
  <c r="F386" i="26" s="1"/>
  <c r="I385" i="26"/>
  <c r="H274" i="27" l="1"/>
  <c r="G375" i="25"/>
  <c r="F375" i="25" s="1"/>
  <c r="H386" i="26"/>
  <c r="H375" i="25" l="1"/>
  <c r="C387" i="26"/>
  <c r="G387" i="26" s="1"/>
  <c r="F387" i="26" s="1"/>
  <c r="I386" i="26"/>
  <c r="C275" i="27"/>
  <c r="I274" i="27"/>
  <c r="E275" i="27"/>
  <c r="G275" i="27" l="1"/>
  <c r="F275" i="27" s="1"/>
  <c r="H275" i="27" s="1"/>
  <c r="H387" i="26"/>
  <c r="C376" i="25"/>
  <c r="G376" i="25" s="1"/>
  <c r="F376" i="25" s="1"/>
  <c r="I375" i="25"/>
  <c r="C276" i="27" l="1"/>
  <c r="I275" i="27"/>
  <c r="E276" i="27"/>
  <c r="C388" i="26"/>
  <c r="G388" i="26" s="1"/>
  <c r="F388" i="26" s="1"/>
  <c r="H388" i="26" s="1"/>
  <c r="E389" i="26" s="1"/>
  <c r="I387" i="26"/>
  <c r="H376" i="25"/>
  <c r="E377" i="25" s="1"/>
  <c r="C389" i="26" l="1"/>
  <c r="G389" i="26" s="1"/>
  <c r="F389" i="26" s="1"/>
  <c r="I388" i="26"/>
  <c r="C377" i="25"/>
  <c r="G377" i="25" s="1"/>
  <c r="F377" i="25" s="1"/>
  <c r="H377" i="25" s="1"/>
  <c r="I376" i="25"/>
  <c r="G276" i="27"/>
  <c r="F276" i="27" s="1"/>
  <c r="AH5" i="3"/>
  <c r="N46" i="25"/>
  <c r="N47" i="26"/>
  <c r="P46" i="25" l="1"/>
  <c r="P47" i="26"/>
  <c r="C378" i="25"/>
  <c r="I377" i="25"/>
  <c r="E378" i="25"/>
  <c r="H276" i="27"/>
  <c r="H389" i="26"/>
  <c r="O46" i="25"/>
  <c r="O47" i="26"/>
  <c r="AH8" i="3"/>
  <c r="AH9" i="3" l="1"/>
  <c r="AH23" i="3" s="1"/>
  <c r="N35" i="12" s="1"/>
  <c r="M47" i="26"/>
  <c r="M46" i="25"/>
  <c r="G378" i="25"/>
  <c r="F378" i="25" s="1"/>
  <c r="C390" i="26"/>
  <c r="I389" i="26"/>
  <c r="E390" i="26"/>
  <c r="C277" i="27"/>
  <c r="I276" i="27"/>
  <c r="E277" i="27"/>
  <c r="H378" i="25" l="1"/>
  <c r="G277" i="27"/>
  <c r="F277" i="27" s="1"/>
  <c r="G390" i="26"/>
  <c r="F390" i="26" s="1"/>
  <c r="H390" i="26" l="1"/>
  <c r="H277" i="27"/>
  <c r="C379" i="25"/>
  <c r="G379" i="25" s="1"/>
  <c r="F379" i="25" s="1"/>
  <c r="H379" i="25" s="1"/>
  <c r="E380" i="25" s="1"/>
  <c r="I378" i="25"/>
  <c r="C380" i="25" l="1"/>
  <c r="G380" i="25" s="1"/>
  <c r="F380" i="25" s="1"/>
  <c r="H380" i="25" s="1"/>
  <c r="I379" i="25"/>
  <c r="C278" i="27"/>
  <c r="I277" i="27"/>
  <c r="E278" i="27"/>
  <c r="C391" i="26"/>
  <c r="G391" i="26" s="1"/>
  <c r="F391" i="26" s="1"/>
  <c r="H391" i="26" s="1"/>
  <c r="I390" i="26"/>
  <c r="C381" i="25" l="1"/>
  <c r="I380" i="25"/>
  <c r="E381" i="25"/>
  <c r="C392" i="26"/>
  <c r="G392" i="26" s="1"/>
  <c r="F392" i="26" s="1"/>
  <c r="H392" i="26" s="1"/>
  <c r="I391" i="26"/>
  <c r="G278" i="27"/>
  <c r="F278" i="27" s="1"/>
  <c r="C393" i="26" l="1"/>
  <c r="G393" i="26" s="1"/>
  <c r="F393" i="26" s="1"/>
  <c r="H393" i="26" s="1"/>
  <c r="I392" i="26"/>
  <c r="H278" i="27"/>
  <c r="G381" i="25"/>
  <c r="F381" i="25" s="1"/>
  <c r="H381" i="25" l="1"/>
  <c r="C394" i="26"/>
  <c r="G394" i="26" s="1"/>
  <c r="F394" i="26" s="1"/>
  <c r="I393" i="26"/>
  <c r="C279" i="27"/>
  <c r="I278" i="27"/>
  <c r="E279" i="27"/>
  <c r="G279" i="27" l="1"/>
  <c r="F279" i="27" s="1"/>
  <c r="H394" i="26"/>
  <c r="E395" i="26" s="1"/>
  <c r="C382" i="25"/>
  <c r="G382" i="25" s="1"/>
  <c r="F382" i="25" s="1"/>
  <c r="H382" i="25" s="1"/>
  <c r="E383" i="25" s="1"/>
  <c r="I381" i="25"/>
  <c r="C395" i="26" l="1"/>
  <c r="G395" i="26" s="1"/>
  <c r="F395" i="26" s="1"/>
  <c r="H395" i="26" s="1"/>
  <c r="I394" i="26"/>
  <c r="C383" i="25"/>
  <c r="G383" i="25" s="1"/>
  <c r="F383" i="25" s="1"/>
  <c r="H383" i="25" s="1"/>
  <c r="I382" i="25"/>
  <c r="H279" i="27"/>
  <c r="C396" i="26" l="1"/>
  <c r="I395" i="26"/>
  <c r="E396" i="26"/>
  <c r="C384" i="25"/>
  <c r="I383" i="25"/>
  <c r="E384" i="25"/>
  <c r="C280" i="27"/>
  <c r="I279" i="27"/>
  <c r="E280" i="27"/>
  <c r="G280" i="27" l="1"/>
  <c r="F280" i="27" s="1"/>
  <c r="H280" i="27" s="1"/>
  <c r="E281" i="27" s="1"/>
  <c r="G384" i="25"/>
  <c r="F384" i="25" s="1"/>
  <c r="G396" i="26"/>
  <c r="F396" i="26" s="1"/>
  <c r="H384" i="25" l="1"/>
  <c r="C281" i="27"/>
  <c r="G281" i="27" s="1"/>
  <c r="F281" i="27" s="1"/>
  <c r="H281" i="27" s="1"/>
  <c r="I280" i="27"/>
  <c r="H396" i="26"/>
  <c r="N38" i="27"/>
  <c r="P38" i="27" l="1"/>
  <c r="D281" i="27"/>
  <c r="C282" i="27"/>
  <c r="C397" i="26"/>
  <c r="G397" i="26" s="1"/>
  <c r="F397" i="26" s="1"/>
  <c r="H397" i="26" s="1"/>
  <c r="I396" i="26"/>
  <c r="C385" i="25"/>
  <c r="G385" i="25" s="1"/>
  <c r="F385" i="25" s="1"/>
  <c r="H385" i="25" s="1"/>
  <c r="E386" i="25" s="1"/>
  <c r="I384" i="25"/>
  <c r="O38" i="27"/>
  <c r="M38" i="27" l="1"/>
  <c r="C398" i="26"/>
  <c r="G398" i="26" s="1"/>
  <c r="F398" i="26" s="1"/>
  <c r="I397" i="26"/>
  <c r="E282" i="27"/>
  <c r="G282" i="27" s="1"/>
  <c r="I281" i="27"/>
  <c r="C386" i="25"/>
  <c r="G386" i="25" s="1"/>
  <c r="F386" i="25" s="1"/>
  <c r="I385" i="25"/>
  <c r="H398" i="26" l="1"/>
  <c r="H386" i="25"/>
  <c r="F282" i="27"/>
  <c r="H282" i="27" s="1"/>
  <c r="C283" i="27" l="1"/>
  <c r="I282" i="27"/>
  <c r="E283" i="27"/>
  <c r="C387" i="25"/>
  <c r="I386" i="25"/>
  <c r="E387" i="25"/>
  <c r="C399" i="26"/>
  <c r="G399" i="26" s="1"/>
  <c r="F399" i="26" s="1"/>
  <c r="H399" i="26" s="1"/>
  <c r="I398" i="26"/>
  <c r="C400" i="26" l="1"/>
  <c r="G400" i="26" s="1"/>
  <c r="F400" i="26" s="1"/>
  <c r="I399" i="26"/>
  <c r="G387" i="25"/>
  <c r="F387" i="25" s="1"/>
  <c r="H387" i="25" s="1"/>
  <c r="G283" i="27"/>
  <c r="F283" i="27" s="1"/>
  <c r="H283" i="27" s="1"/>
  <c r="C284" i="27" l="1"/>
  <c r="I283" i="27"/>
  <c r="E284" i="27"/>
  <c r="C388" i="25"/>
  <c r="G388" i="25" s="1"/>
  <c r="F388" i="25" s="1"/>
  <c r="H388" i="25" s="1"/>
  <c r="E389" i="25" s="1"/>
  <c r="I387" i="25"/>
  <c r="H400" i="26"/>
  <c r="E401" i="26" s="1"/>
  <c r="C389" i="25" l="1"/>
  <c r="G389" i="25" s="1"/>
  <c r="F389" i="25" s="1"/>
  <c r="H389" i="25" s="1"/>
  <c r="I388" i="25"/>
  <c r="C401" i="26"/>
  <c r="G401" i="26" s="1"/>
  <c r="F401" i="26" s="1"/>
  <c r="H401" i="26" s="1"/>
  <c r="I400" i="26"/>
  <c r="G284" i="27"/>
  <c r="F284" i="27" s="1"/>
  <c r="H284" i="27" s="1"/>
  <c r="N48" i="26"/>
  <c r="N47" i="25"/>
  <c r="AI5" i="3"/>
  <c r="P48" i="26" l="1"/>
  <c r="P47" i="25"/>
  <c r="C402" i="26"/>
  <c r="I401" i="26"/>
  <c r="E402" i="26"/>
  <c r="C390" i="25"/>
  <c r="I389" i="25"/>
  <c r="E390" i="25"/>
  <c r="C285" i="27"/>
  <c r="I284" i="27"/>
  <c r="E285" i="27"/>
  <c r="O48" i="26"/>
  <c r="O47" i="25"/>
  <c r="AI8" i="3"/>
  <c r="G390" i="25" l="1"/>
  <c r="F390" i="25" s="1"/>
  <c r="AI9" i="3"/>
  <c r="AI23" i="3" s="1"/>
  <c r="N36" i="12" s="1"/>
  <c r="M47" i="25"/>
  <c r="M48" i="26"/>
  <c r="G285" i="27"/>
  <c r="F285" i="27" s="1"/>
  <c r="G402" i="26"/>
  <c r="F402" i="26" s="1"/>
  <c r="H402" i="26" l="1"/>
  <c r="H285" i="27"/>
  <c r="H390" i="25"/>
  <c r="C391" i="25" l="1"/>
  <c r="G391" i="25" s="1"/>
  <c r="F391" i="25" s="1"/>
  <c r="H391" i="25" s="1"/>
  <c r="E392" i="25" s="1"/>
  <c r="I390" i="25"/>
  <c r="C286" i="27"/>
  <c r="I285" i="27"/>
  <c r="E286" i="27"/>
  <c r="C403" i="26"/>
  <c r="G403" i="26" s="1"/>
  <c r="F403" i="26" s="1"/>
  <c r="H403" i="26" s="1"/>
  <c r="I402" i="26"/>
  <c r="C392" i="25" l="1"/>
  <c r="G392" i="25" s="1"/>
  <c r="F392" i="25" s="1"/>
  <c r="I391" i="25"/>
  <c r="C404" i="26"/>
  <c r="G404" i="26" s="1"/>
  <c r="F404" i="26" s="1"/>
  <c r="H404" i="26" s="1"/>
  <c r="I403" i="26"/>
  <c r="G286" i="27"/>
  <c r="F286" i="27" s="1"/>
  <c r="H286" i="27" s="1"/>
  <c r="C405" i="26" l="1"/>
  <c r="G405" i="26" s="1"/>
  <c r="F405" i="26" s="1"/>
  <c r="I404" i="26"/>
  <c r="C287" i="27"/>
  <c r="I286" i="27"/>
  <c r="E287" i="27"/>
  <c r="H392" i="25"/>
  <c r="C393" i="25" l="1"/>
  <c r="I392" i="25"/>
  <c r="E393" i="25"/>
  <c r="G287" i="27"/>
  <c r="F287" i="27" s="1"/>
  <c r="H405" i="26"/>
  <c r="C406" i="26" l="1"/>
  <c r="G406" i="26" s="1"/>
  <c r="F406" i="26" s="1"/>
  <c r="H406" i="26" s="1"/>
  <c r="E407" i="26" s="1"/>
  <c r="I405" i="26"/>
  <c r="G393" i="25"/>
  <c r="F393" i="25" s="1"/>
  <c r="H287" i="27"/>
  <c r="H393" i="25" l="1"/>
  <c r="C407" i="26"/>
  <c r="G407" i="26" s="1"/>
  <c r="F407" i="26" s="1"/>
  <c r="I406" i="26"/>
  <c r="C288" i="27"/>
  <c r="I287" i="27"/>
  <c r="E288" i="27"/>
  <c r="H407" i="26" l="1"/>
  <c r="G288" i="27"/>
  <c r="F288" i="27" s="1"/>
  <c r="C394" i="25"/>
  <c r="G394" i="25" s="1"/>
  <c r="F394" i="25" s="1"/>
  <c r="H394" i="25" s="1"/>
  <c r="E395" i="25" s="1"/>
  <c r="I393" i="25"/>
  <c r="H288" i="27" l="1"/>
  <c r="C395" i="25"/>
  <c r="G395" i="25" s="1"/>
  <c r="F395" i="25" s="1"/>
  <c r="H395" i="25" s="1"/>
  <c r="I394" i="25"/>
  <c r="C408" i="26"/>
  <c r="I407" i="26"/>
  <c r="E408" i="26"/>
  <c r="C396" i="25" l="1"/>
  <c r="I395" i="25"/>
  <c r="E396" i="25"/>
  <c r="G408" i="26"/>
  <c r="F408" i="26" s="1"/>
  <c r="C289" i="27"/>
  <c r="I288" i="27"/>
  <c r="E289" i="27"/>
  <c r="H408" i="26" l="1"/>
  <c r="G289" i="27"/>
  <c r="F289" i="27" s="1"/>
  <c r="H289" i="27" s="1"/>
  <c r="G396" i="25"/>
  <c r="F396" i="25" s="1"/>
  <c r="H396" i="25" l="1"/>
  <c r="C290" i="27"/>
  <c r="I289" i="27"/>
  <c r="E290" i="27"/>
  <c r="C409" i="26"/>
  <c r="G409" i="26" s="1"/>
  <c r="F409" i="26" s="1"/>
  <c r="H409" i="26" s="1"/>
  <c r="I408" i="26"/>
  <c r="C410" i="26" l="1"/>
  <c r="G410" i="26" s="1"/>
  <c r="F410" i="26" s="1"/>
  <c r="H410" i="26" s="1"/>
  <c r="I409" i="26"/>
  <c r="G290" i="27"/>
  <c r="F290" i="27" s="1"/>
  <c r="C397" i="25"/>
  <c r="G397" i="25" s="1"/>
  <c r="F397" i="25" s="1"/>
  <c r="H397" i="25" s="1"/>
  <c r="E398" i="25" s="1"/>
  <c r="I396" i="25"/>
  <c r="C398" i="25" l="1"/>
  <c r="G398" i="25" s="1"/>
  <c r="F398" i="25" s="1"/>
  <c r="I397" i="25"/>
  <c r="H290" i="27"/>
  <c r="C411" i="26"/>
  <c r="G411" i="26" s="1"/>
  <c r="F411" i="26" s="1"/>
  <c r="H411" i="26" s="1"/>
  <c r="I410" i="26"/>
  <c r="C412" i="26" l="1"/>
  <c r="G412" i="26" s="1"/>
  <c r="F412" i="26" s="1"/>
  <c r="H412" i="26" s="1"/>
  <c r="E413" i="26" s="1"/>
  <c r="I411" i="26"/>
  <c r="C291" i="27"/>
  <c r="I290" i="27"/>
  <c r="E291" i="27"/>
  <c r="H398" i="25"/>
  <c r="C399" i="25" l="1"/>
  <c r="I398" i="25"/>
  <c r="E399" i="25"/>
  <c r="C413" i="26"/>
  <c r="G413" i="26" s="1"/>
  <c r="F413" i="26" s="1"/>
  <c r="H413" i="26" s="1"/>
  <c r="I412" i="26"/>
  <c r="G291" i="27"/>
  <c r="F291" i="27" s="1"/>
  <c r="AJ5" i="3"/>
  <c r="N49" i="26"/>
  <c r="P49" i="26" l="1"/>
  <c r="H291" i="27"/>
  <c r="C414" i="26"/>
  <c r="I413" i="26"/>
  <c r="E414" i="26"/>
  <c r="G399" i="25"/>
  <c r="F399" i="25" s="1"/>
  <c r="O49" i="26"/>
  <c r="AJ8" i="3"/>
  <c r="AJ9" i="3" l="1"/>
  <c r="AJ23" i="3" s="1"/>
  <c r="N37" i="12" s="1"/>
  <c r="M49" i="26"/>
  <c r="H399" i="25"/>
  <c r="G414" i="26"/>
  <c r="F414" i="26" s="1"/>
  <c r="C292" i="27"/>
  <c r="I291" i="27"/>
  <c r="E292" i="27"/>
  <c r="H414" i="26" l="1"/>
  <c r="G292" i="27"/>
  <c r="F292" i="27" s="1"/>
  <c r="H292" i="27" s="1"/>
  <c r="E293" i="27" s="1"/>
  <c r="C400" i="25"/>
  <c r="G400" i="25" s="1"/>
  <c r="F400" i="25" s="1"/>
  <c r="H400" i="25" s="1"/>
  <c r="E401" i="25" s="1"/>
  <c r="I399" i="25"/>
  <c r="C401" i="25" l="1"/>
  <c r="G401" i="25" s="1"/>
  <c r="F401" i="25" s="1"/>
  <c r="H401" i="25" s="1"/>
  <c r="I400" i="25"/>
  <c r="C293" i="27"/>
  <c r="G293" i="27" s="1"/>
  <c r="F293" i="27" s="1"/>
  <c r="I292" i="27"/>
  <c r="C415" i="26"/>
  <c r="G415" i="26" s="1"/>
  <c r="F415" i="26" s="1"/>
  <c r="H415" i="26" s="1"/>
  <c r="I414" i="26"/>
  <c r="N39" i="27"/>
  <c r="N48" i="25"/>
  <c r="P39" i="27" l="1"/>
  <c r="P48" i="25"/>
  <c r="C402" i="25"/>
  <c r="I401" i="25"/>
  <c r="E402" i="25"/>
  <c r="C416" i="26"/>
  <c r="G416" i="26" s="1"/>
  <c r="F416" i="26" s="1"/>
  <c r="H416" i="26" s="1"/>
  <c r="I415" i="26"/>
  <c r="H293" i="27"/>
  <c r="O39" i="27"/>
  <c r="O48" i="25"/>
  <c r="M48" i="25" l="1"/>
  <c r="M39" i="27"/>
  <c r="G402" i="25"/>
  <c r="F402" i="25" s="1"/>
  <c r="D293" i="27"/>
  <c r="C294" i="27"/>
  <c r="C417" i="26"/>
  <c r="G417" i="26" s="1"/>
  <c r="F417" i="26" s="1"/>
  <c r="H417" i="26" s="1"/>
  <c r="I416" i="26"/>
  <c r="H402" i="25" l="1"/>
  <c r="C418" i="26"/>
  <c r="G418" i="26" s="1"/>
  <c r="F418" i="26" s="1"/>
  <c r="H418" i="26" s="1"/>
  <c r="E419" i="26" s="1"/>
  <c r="I417" i="26"/>
  <c r="E294" i="27"/>
  <c r="I293" i="27"/>
  <c r="C419" i="26" l="1"/>
  <c r="G419" i="26" s="1"/>
  <c r="F419" i="26" s="1"/>
  <c r="H419" i="26" s="1"/>
  <c r="I418" i="26"/>
  <c r="G294" i="27"/>
  <c r="F294" i="27" s="1"/>
  <c r="C403" i="25"/>
  <c r="G403" i="25" s="1"/>
  <c r="F403" i="25" s="1"/>
  <c r="I402" i="25"/>
  <c r="H294" i="27" l="1"/>
  <c r="H403" i="25"/>
  <c r="E404" i="25" s="1"/>
  <c r="C420" i="26"/>
  <c r="I419" i="26"/>
  <c r="E420" i="26"/>
  <c r="G420" i="26" l="1"/>
  <c r="F420" i="26" s="1"/>
  <c r="C404" i="25"/>
  <c r="G404" i="25" s="1"/>
  <c r="F404" i="25" s="1"/>
  <c r="H404" i="25" s="1"/>
  <c r="I403" i="25"/>
  <c r="C295" i="27"/>
  <c r="I294" i="27"/>
  <c r="E295" i="27"/>
  <c r="H420" i="26" l="1"/>
  <c r="C405" i="25"/>
  <c r="I404" i="25"/>
  <c r="E405" i="25"/>
  <c r="G295" i="27"/>
  <c r="F295" i="27" s="1"/>
  <c r="H295" i="27" l="1"/>
  <c r="G405" i="25"/>
  <c r="F405" i="25" s="1"/>
  <c r="C421" i="26"/>
  <c r="G421" i="26" s="1"/>
  <c r="F421" i="26" s="1"/>
  <c r="H421" i="26" s="1"/>
  <c r="I420" i="26"/>
  <c r="H405" i="25" l="1"/>
  <c r="C422" i="26"/>
  <c r="G422" i="26" s="1"/>
  <c r="F422" i="26" s="1"/>
  <c r="I421" i="26"/>
  <c r="C296" i="27"/>
  <c r="I295" i="27"/>
  <c r="E296" i="27"/>
  <c r="G296" i="27" l="1"/>
  <c r="F296" i="27" s="1"/>
  <c r="H422" i="26"/>
  <c r="C406" i="25"/>
  <c r="G406" i="25" s="1"/>
  <c r="F406" i="25" s="1"/>
  <c r="I405" i="25"/>
  <c r="C423" i="26" l="1"/>
  <c r="G423" i="26" s="1"/>
  <c r="F423" i="26" s="1"/>
  <c r="H423" i="26" s="1"/>
  <c r="I422" i="26"/>
  <c r="H406" i="25"/>
  <c r="E407" i="25" s="1"/>
  <c r="H296" i="27"/>
  <c r="C424" i="26" l="1"/>
  <c r="G424" i="26" s="1"/>
  <c r="F424" i="26" s="1"/>
  <c r="I423" i="26"/>
  <c r="C407" i="25"/>
  <c r="G407" i="25" s="1"/>
  <c r="F407" i="25" s="1"/>
  <c r="H407" i="25" s="1"/>
  <c r="I406" i="25"/>
  <c r="C297" i="27"/>
  <c r="I296" i="27"/>
  <c r="E297" i="27"/>
  <c r="C408" i="25" l="1"/>
  <c r="I407" i="25"/>
  <c r="E408" i="25"/>
  <c r="G297" i="27"/>
  <c r="F297" i="27" s="1"/>
  <c r="H297" i="27" s="1"/>
  <c r="H424" i="26"/>
  <c r="E425" i="26" s="1"/>
  <c r="C298" i="27" l="1"/>
  <c r="I297" i="27"/>
  <c r="E298" i="27"/>
  <c r="C425" i="26"/>
  <c r="G425" i="26" s="1"/>
  <c r="F425" i="26" s="1"/>
  <c r="H425" i="26" s="1"/>
  <c r="I424" i="26"/>
  <c r="G408" i="25"/>
  <c r="F408" i="25" s="1"/>
  <c r="N50" i="26"/>
  <c r="AK5" i="3"/>
  <c r="P50" i="26" l="1"/>
  <c r="C426" i="26"/>
  <c r="I425" i="26"/>
  <c r="E426" i="26"/>
  <c r="H408" i="25"/>
  <c r="G298" i="27"/>
  <c r="F298" i="27" s="1"/>
  <c r="H298" i="27" s="1"/>
  <c r="O50" i="26"/>
  <c r="AK8" i="3"/>
  <c r="AK9" i="3" l="1"/>
  <c r="AK23" i="3" s="1"/>
  <c r="N38" i="12" s="1"/>
  <c r="M50" i="26"/>
  <c r="C299" i="27"/>
  <c r="I298" i="27"/>
  <c r="E299" i="27"/>
  <c r="G426" i="26"/>
  <c r="F426" i="26" s="1"/>
  <c r="C409" i="25"/>
  <c r="G409" i="25" s="1"/>
  <c r="F409" i="25" s="1"/>
  <c r="H409" i="25" s="1"/>
  <c r="E410" i="25" s="1"/>
  <c r="I408" i="25"/>
  <c r="G299" i="27" l="1"/>
  <c r="F299" i="27" s="1"/>
  <c r="H426" i="26"/>
  <c r="C410" i="25"/>
  <c r="G410" i="25" s="1"/>
  <c r="F410" i="25" s="1"/>
  <c r="I409" i="25"/>
  <c r="H299" i="27" l="1"/>
  <c r="C427" i="26"/>
  <c r="G427" i="26" s="1"/>
  <c r="F427" i="26" s="1"/>
  <c r="H427" i="26" s="1"/>
  <c r="I426" i="26"/>
  <c r="H410" i="25"/>
  <c r="C428" i="26" l="1"/>
  <c r="G428" i="26" s="1"/>
  <c r="F428" i="26" s="1"/>
  <c r="I427" i="26"/>
  <c r="C411" i="25"/>
  <c r="I410" i="25"/>
  <c r="E411" i="25"/>
  <c r="C300" i="27"/>
  <c r="I299" i="27"/>
  <c r="E300" i="27"/>
  <c r="G300" i="27" l="1"/>
  <c r="F300" i="27" s="1"/>
  <c r="H300" i="27" s="1"/>
  <c r="G411" i="25"/>
  <c r="F411" i="25" s="1"/>
  <c r="H428" i="26"/>
  <c r="C301" i="27" l="1"/>
  <c r="I300" i="27"/>
  <c r="E301" i="27"/>
  <c r="H411" i="25"/>
  <c r="C429" i="26"/>
  <c r="G429" i="26" s="1"/>
  <c r="F429" i="26" s="1"/>
  <c r="H429" i="26" s="1"/>
  <c r="I428" i="26"/>
  <c r="C430" i="26" l="1"/>
  <c r="G430" i="26" s="1"/>
  <c r="F430" i="26" s="1"/>
  <c r="I429" i="26"/>
  <c r="C412" i="25"/>
  <c r="G412" i="25" s="1"/>
  <c r="F412" i="25" s="1"/>
  <c r="H412" i="25" s="1"/>
  <c r="E413" i="25" s="1"/>
  <c r="I411" i="25"/>
  <c r="G301" i="27"/>
  <c r="F301" i="27" s="1"/>
  <c r="C413" i="25" l="1"/>
  <c r="G413" i="25" s="1"/>
  <c r="F413" i="25" s="1"/>
  <c r="H413" i="25" s="1"/>
  <c r="I412" i="25"/>
  <c r="H301" i="27"/>
  <c r="H430" i="26"/>
  <c r="E431" i="26" s="1"/>
  <c r="N49" i="25"/>
  <c r="P49" i="25" l="1"/>
  <c r="C414" i="25"/>
  <c r="I413" i="25"/>
  <c r="E414" i="25"/>
  <c r="C431" i="26"/>
  <c r="G431" i="26" s="1"/>
  <c r="F431" i="26" s="1"/>
  <c r="H431" i="26" s="1"/>
  <c r="I430" i="26"/>
  <c r="C302" i="27"/>
  <c r="I301" i="27"/>
  <c r="E302" i="27"/>
  <c r="O49" i="25"/>
  <c r="M49" i="25" l="1"/>
  <c r="C432" i="26"/>
  <c r="I431" i="26"/>
  <c r="E432" i="26"/>
  <c r="G414" i="25"/>
  <c r="F414" i="25" s="1"/>
  <c r="H414" i="25" s="1"/>
  <c r="G302" i="27"/>
  <c r="F302" i="27" s="1"/>
  <c r="C415" i="25" l="1"/>
  <c r="G415" i="25" s="1"/>
  <c r="F415" i="25" s="1"/>
  <c r="H415" i="25" s="1"/>
  <c r="E416" i="25" s="1"/>
  <c r="I414" i="25"/>
  <c r="G432" i="26"/>
  <c r="F432" i="26" s="1"/>
  <c r="H302" i="27"/>
  <c r="H432" i="26" l="1"/>
  <c r="C416" i="25"/>
  <c r="G416" i="25" s="1"/>
  <c r="F416" i="25" s="1"/>
  <c r="H416" i="25" s="1"/>
  <c r="I415" i="25"/>
  <c r="C303" i="27"/>
  <c r="I302" i="27"/>
  <c r="E303" i="27"/>
  <c r="G303" i="27" l="1"/>
  <c r="F303" i="27" s="1"/>
  <c r="H303" i="27" s="1"/>
  <c r="C417" i="25"/>
  <c r="I416" i="25"/>
  <c r="E417" i="25"/>
  <c r="C433" i="26"/>
  <c r="G433" i="26" s="1"/>
  <c r="F433" i="26" s="1"/>
  <c r="I432" i="26"/>
  <c r="C304" i="27" l="1"/>
  <c r="I303" i="27"/>
  <c r="E304" i="27"/>
  <c r="G417" i="25"/>
  <c r="F417" i="25" s="1"/>
  <c r="H433" i="26"/>
  <c r="H417" i="25" l="1"/>
  <c r="C434" i="26"/>
  <c r="G434" i="26" s="1"/>
  <c r="F434" i="26" s="1"/>
  <c r="H434" i="26" s="1"/>
  <c r="I433" i="26"/>
  <c r="G304" i="27"/>
  <c r="F304" i="27" s="1"/>
  <c r="C435" i="26" l="1"/>
  <c r="G435" i="26" s="1"/>
  <c r="F435" i="26" s="1"/>
  <c r="H435" i="26" s="1"/>
  <c r="I434" i="26"/>
  <c r="H304" i="27"/>
  <c r="E305" i="27" s="1"/>
  <c r="C418" i="25"/>
  <c r="G418" i="25" s="1"/>
  <c r="F418" i="25" s="1"/>
  <c r="I417" i="25"/>
  <c r="C436" i="26" l="1"/>
  <c r="G436" i="26" s="1"/>
  <c r="F436" i="26" s="1"/>
  <c r="H436" i="26" s="1"/>
  <c r="E437" i="26" s="1"/>
  <c r="I435" i="26"/>
  <c r="H418" i="25"/>
  <c r="E419" i="25" s="1"/>
  <c r="C305" i="27"/>
  <c r="G305" i="27" s="1"/>
  <c r="F305" i="27" s="1"/>
  <c r="H305" i="27" s="1"/>
  <c r="I304" i="27"/>
  <c r="N40" i="27"/>
  <c r="P40" i="27" l="1"/>
  <c r="C437" i="26"/>
  <c r="G437" i="26" s="1"/>
  <c r="F437" i="26" s="1"/>
  <c r="I436" i="26"/>
  <c r="D305" i="27"/>
  <c r="C306" i="27"/>
  <c r="C419" i="25"/>
  <c r="G419" i="25" s="1"/>
  <c r="F419" i="25" s="1"/>
  <c r="H419" i="25" s="1"/>
  <c r="I418" i="25"/>
  <c r="O40" i="27"/>
  <c r="AL5" i="3"/>
  <c r="N51" i="26"/>
  <c r="P51" i="26" l="1"/>
  <c r="M40" i="27"/>
  <c r="C420" i="25"/>
  <c r="I419" i="25"/>
  <c r="E420" i="25"/>
  <c r="E306" i="27"/>
  <c r="G306" i="27" s="1"/>
  <c r="I305" i="27"/>
  <c r="H437" i="26"/>
  <c r="O51" i="26"/>
  <c r="AL8" i="3"/>
  <c r="AL9" i="3" l="1"/>
  <c r="AL23" i="3" s="1"/>
  <c r="N39" i="12" s="1"/>
  <c r="M51" i="26"/>
  <c r="F306" i="27"/>
  <c r="H306" i="27" s="1"/>
  <c r="G420" i="25"/>
  <c r="F420" i="25" s="1"/>
  <c r="C438" i="26"/>
  <c r="I437" i="26"/>
  <c r="E438" i="26"/>
  <c r="H420" i="25" l="1"/>
  <c r="C307" i="27"/>
  <c r="I306" i="27"/>
  <c r="D317" i="27"/>
  <c r="E307" i="27"/>
  <c r="G438" i="26"/>
  <c r="F438" i="26" s="1"/>
  <c r="H438" i="26" l="1"/>
  <c r="G307" i="27"/>
  <c r="F307" i="27" s="1"/>
  <c r="C421" i="25"/>
  <c r="G421" i="25" s="1"/>
  <c r="F421" i="25" s="1"/>
  <c r="I420" i="25"/>
  <c r="H307" i="27" l="1"/>
  <c r="H421" i="25"/>
  <c r="E422" i="25" s="1"/>
  <c r="C439" i="26"/>
  <c r="G439" i="26" s="1"/>
  <c r="F439" i="26" s="1"/>
  <c r="H439" i="26" s="1"/>
  <c r="I438" i="26"/>
  <c r="C440" i="26" l="1"/>
  <c r="G440" i="26" s="1"/>
  <c r="F440" i="26" s="1"/>
  <c r="H440" i="26" s="1"/>
  <c r="I439" i="26"/>
  <c r="C422" i="25"/>
  <c r="G422" i="25" s="1"/>
  <c r="F422" i="25" s="1"/>
  <c r="H422" i="25" s="1"/>
  <c r="I421" i="25"/>
  <c r="C308" i="27"/>
  <c r="I307" i="27"/>
  <c r="D329" i="27"/>
  <c r="E308" i="27"/>
  <c r="C423" i="25" l="1"/>
  <c r="I422" i="25"/>
  <c r="E423" i="25"/>
  <c r="C441" i="26"/>
  <c r="G441" i="26" s="1"/>
  <c r="F441" i="26" s="1"/>
  <c r="I440" i="26"/>
  <c r="G308" i="27"/>
  <c r="F308" i="27" s="1"/>
  <c r="H308" i="27" s="1"/>
  <c r="H441" i="26" l="1"/>
  <c r="C309" i="27"/>
  <c r="D341" i="27"/>
  <c r="I308" i="27"/>
  <c r="E309" i="27"/>
  <c r="G423" i="25"/>
  <c r="F423" i="25" s="1"/>
  <c r="H423" i="25" l="1"/>
  <c r="G309" i="27"/>
  <c r="F309" i="27" s="1"/>
  <c r="C442" i="26"/>
  <c r="G442" i="26" s="1"/>
  <c r="F442" i="26" s="1"/>
  <c r="I441" i="26"/>
  <c r="H309" i="27" l="1"/>
  <c r="H442" i="26"/>
  <c r="E443" i="26" s="1"/>
  <c r="C424" i="25"/>
  <c r="G424" i="25" s="1"/>
  <c r="F424" i="25" s="1"/>
  <c r="H424" i="25" s="1"/>
  <c r="E425" i="25" s="1"/>
  <c r="I423" i="25"/>
  <c r="C425" i="25" l="1"/>
  <c r="G425" i="25" s="1"/>
  <c r="F425" i="25" s="1"/>
  <c r="H425" i="25" s="1"/>
  <c r="I424" i="25"/>
  <c r="C443" i="26"/>
  <c r="G443" i="26" s="1"/>
  <c r="F443" i="26" s="1"/>
  <c r="H443" i="26" s="1"/>
  <c r="I442" i="26"/>
  <c r="C310" i="27"/>
  <c r="D353" i="27"/>
  <c r="I309" i="27"/>
  <c r="E310" i="27"/>
  <c r="N50" i="25"/>
  <c r="P50" i="25" l="1"/>
  <c r="C444" i="26"/>
  <c r="I443" i="26"/>
  <c r="E444" i="26"/>
  <c r="G310" i="27"/>
  <c r="F310" i="27" s="1"/>
  <c r="C426" i="25"/>
  <c r="I425" i="25"/>
  <c r="E426" i="25"/>
  <c r="O50" i="25"/>
  <c r="M50" i="25" l="1"/>
  <c r="H310" i="27"/>
  <c r="G444" i="26"/>
  <c r="F444" i="26" s="1"/>
  <c r="G426" i="25"/>
  <c r="F426" i="25" s="1"/>
  <c r="H426" i="25" s="1"/>
  <c r="C427" i="25" l="1"/>
  <c r="G427" i="25" s="1"/>
  <c r="F427" i="25" s="1"/>
  <c r="I426" i="25"/>
  <c r="H444" i="26"/>
  <c r="C311" i="27"/>
  <c r="D365" i="27"/>
  <c r="I310" i="27"/>
  <c r="E311" i="27"/>
  <c r="C445" i="26" l="1"/>
  <c r="G445" i="26" s="1"/>
  <c r="F445" i="26" s="1"/>
  <c r="I444" i="26"/>
  <c r="G311" i="27"/>
  <c r="F311" i="27" s="1"/>
  <c r="H427" i="25"/>
  <c r="E428" i="25" s="1"/>
  <c r="H311" i="27" l="1"/>
  <c r="C428" i="25"/>
  <c r="G428" i="25" s="1"/>
  <c r="F428" i="25" s="1"/>
  <c r="H428" i="25" s="1"/>
  <c r="I427" i="25"/>
  <c r="H445" i="26"/>
  <c r="C446" i="26" l="1"/>
  <c r="G446" i="26" s="1"/>
  <c r="F446" i="26" s="1"/>
  <c r="H446" i="26" s="1"/>
  <c r="I445" i="26"/>
  <c r="C429" i="25"/>
  <c r="I428" i="25"/>
  <c r="E429" i="25"/>
  <c r="C312" i="27"/>
  <c r="D377" i="27"/>
  <c r="I311" i="27"/>
  <c r="E312" i="27"/>
  <c r="C447" i="26" l="1"/>
  <c r="G447" i="26" s="1"/>
  <c r="F447" i="26" s="1"/>
  <c r="I446" i="26"/>
  <c r="G429" i="25"/>
  <c r="F429" i="25" s="1"/>
  <c r="G312" i="27"/>
  <c r="F312" i="27" s="1"/>
  <c r="H312" i="27" s="1"/>
  <c r="C313" i="27" l="1"/>
  <c r="D389" i="27"/>
  <c r="I312" i="27"/>
  <c r="E313" i="27"/>
  <c r="H429" i="25"/>
  <c r="H447" i="26"/>
  <c r="C448" i="26" l="1"/>
  <c r="G448" i="26" s="1"/>
  <c r="F448" i="26" s="1"/>
  <c r="I447" i="26"/>
  <c r="C430" i="25"/>
  <c r="G430" i="25" s="1"/>
  <c r="F430" i="25" s="1"/>
  <c r="H430" i="25" s="1"/>
  <c r="E431" i="25" s="1"/>
  <c r="I429" i="25"/>
  <c r="G313" i="27"/>
  <c r="F313" i="27" s="1"/>
  <c r="H313" i="27" l="1"/>
  <c r="C431" i="25"/>
  <c r="G431" i="25" s="1"/>
  <c r="F431" i="25" s="1"/>
  <c r="I430" i="25"/>
  <c r="H448" i="26"/>
  <c r="E449" i="26" s="1"/>
  <c r="H431" i="25" l="1"/>
  <c r="C449" i="26"/>
  <c r="G449" i="26" s="1"/>
  <c r="F449" i="26" s="1"/>
  <c r="I448" i="26"/>
  <c r="C314" i="27"/>
  <c r="D401" i="27"/>
  <c r="I313" i="27"/>
  <c r="E314" i="27"/>
  <c r="AM5" i="3"/>
  <c r="N52" i="26"/>
  <c r="P52" i="26" l="1"/>
  <c r="G314" i="27"/>
  <c r="F314" i="27" s="1"/>
  <c r="H449" i="26"/>
  <c r="C432" i="25"/>
  <c r="I431" i="25"/>
  <c r="E432" i="25"/>
  <c r="O52" i="26"/>
  <c r="AM8" i="3"/>
  <c r="AM9" i="3" l="1"/>
  <c r="AM23" i="3" s="1"/>
  <c r="N40" i="12" s="1"/>
  <c r="M52" i="26"/>
  <c r="H314" i="27"/>
  <c r="C450" i="26"/>
  <c r="I449" i="26"/>
  <c r="E450" i="26"/>
  <c r="G432" i="25"/>
  <c r="F432" i="25" s="1"/>
  <c r="H432" i="25" l="1"/>
  <c r="C315" i="27"/>
  <c r="D413" i="27"/>
  <c r="I314" i="27"/>
  <c r="E315" i="27"/>
  <c r="G450" i="26"/>
  <c r="F450" i="26" s="1"/>
  <c r="H450" i="26" l="1"/>
  <c r="G315" i="27"/>
  <c r="F315" i="27" s="1"/>
  <c r="C433" i="25"/>
  <c r="G433" i="25" s="1"/>
  <c r="F433" i="25" s="1"/>
  <c r="H433" i="25" s="1"/>
  <c r="E434" i="25" s="1"/>
  <c r="I432" i="25"/>
  <c r="H315" i="27" l="1"/>
  <c r="C434" i="25"/>
  <c r="G434" i="25" s="1"/>
  <c r="F434" i="25" s="1"/>
  <c r="I433" i="25"/>
  <c r="C451" i="26"/>
  <c r="G451" i="26" s="1"/>
  <c r="F451" i="26" s="1"/>
  <c r="I450" i="26"/>
  <c r="H451" i="26" l="1"/>
  <c r="H434" i="25"/>
  <c r="C316" i="27"/>
  <c r="D425" i="27"/>
  <c r="I315" i="27"/>
  <c r="E316" i="27"/>
  <c r="G316" i="27" l="1"/>
  <c r="F316" i="27" s="1"/>
  <c r="C435" i="25"/>
  <c r="I434" i="25"/>
  <c r="E435" i="25"/>
  <c r="C452" i="26"/>
  <c r="G452" i="26" s="1"/>
  <c r="F452" i="26" s="1"/>
  <c r="I451" i="26"/>
  <c r="G435" i="25" l="1"/>
  <c r="F435" i="25" s="1"/>
  <c r="H316" i="27"/>
  <c r="E317" i="27" s="1"/>
  <c r="H452" i="26"/>
  <c r="H435" i="25" l="1"/>
  <c r="C317" i="27"/>
  <c r="G317" i="27" s="1"/>
  <c r="F317" i="27" s="1"/>
  <c r="H317" i="27" s="1"/>
  <c r="D437" i="27"/>
  <c r="I316" i="27"/>
  <c r="C453" i="26"/>
  <c r="G453" i="26" s="1"/>
  <c r="F453" i="26" s="1"/>
  <c r="I452" i="26"/>
  <c r="N41" i="27"/>
  <c r="P41" i="27" l="1"/>
  <c r="H453" i="26"/>
  <c r="C318" i="27"/>
  <c r="D449" i="27"/>
  <c r="E318" i="27"/>
  <c r="I317" i="27"/>
  <c r="C436" i="25"/>
  <c r="G436" i="25" s="1"/>
  <c r="F436" i="25" s="1"/>
  <c r="H436" i="25" s="1"/>
  <c r="E437" i="25" s="1"/>
  <c r="I435" i="25"/>
  <c r="O41" i="27"/>
  <c r="G318" i="27" l="1"/>
  <c r="F318" i="27" s="1"/>
  <c r="H318" i="27" s="1"/>
  <c r="M41" i="27"/>
  <c r="C437" i="25"/>
  <c r="G437" i="25" s="1"/>
  <c r="F437" i="25" s="1"/>
  <c r="H437" i="25" s="1"/>
  <c r="I436" i="25"/>
  <c r="C454" i="26"/>
  <c r="G454" i="26" s="1"/>
  <c r="F454" i="26" s="1"/>
  <c r="I453" i="26"/>
  <c r="N51" i="25"/>
  <c r="P51" i="25" l="1"/>
  <c r="C438" i="25"/>
  <c r="I437" i="25"/>
  <c r="E438" i="25"/>
  <c r="C319" i="27"/>
  <c r="D461" i="27"/>
  <c r="I318" i="27"/>
  <c r="E319" i="27"/>
  <c r="H454" i="26"/>
  <c r="E455" i="26" s="1"/>
  <c r="O51" i="25"/>
  <c r="G438" i="25" l="1"/>
  <c r="F438" i="25" s="1"/>
  <c r="H438" i="25" s="1"/>
  <c r="M51" i="25"/>
  <c r="C455" i="26"/>
  <c r="G455" i="26" s="1"/>
  <c r="F455" i="26" s="1"/>
  <c r="I454" i="26"/>
  <c r="G319" i="27"/>
  <c r="F319" i="27" s="1"/>
  <c r="H319" i="27" l="1"/>
  <c r="C439" i="25"/>
  <c r="G439" i="25" s="1"/>
  <c r="F439" i="25" s="1"/>
  <c r="I438" i="25"/>
  <c r="H455" i="26"/>
  <c r="C456" i="26" l="1"/>
  <c r="I455" i="26"/>
  <c r="E456" i="26"/>
  <c r="H439" i="25"/>
  <c r="E440" i="25" s="1"/>
  <c r="C320" i="27"/>
  <c r="D473" i="27"/>
  <c r="I319" i="27"/>
  <c r="E320" i="27"/>
  <c r="G320" i="27" l="1"/>
  <c r="F320" i="27" s="1"/>
  <c r="C440" i="25"/>
  <c r="G440" i="25" s="1"/>
  <c r="F440" i="25" s="1"/>
  <c r="I439" i="25"/>
  <c r="G456" i="26"/>
  <c r="F456" i="26" s="1"/>
  <c r="H320" i="27" l="1"/>
  <c r="H440" i="25"/>
  <c r="H456" i="26"/>
  <c r="C457" i="26" l="1"/>
  <c r="G457" i="26" s="1"/>
  <c r="F457" i="26" s="1"/>
  <c r="H457" i="26" s="1"/>
  <c r="I456" i="26"/>
  <c r="C441" i="25"/>
  <c r="I440" i="25"/>
  <c r="E441" i="25"/>
  <c r="C321" i="27"/>
  <c r="D485" i="27"/>
  <c r="I320" i="27"/>
  <c r="E321" i="27"/>
  <c r="C458" i="26" l="1"/>
  <c r="G458" i="26" s="1"/>
  <c r="F458" i="26" s="1"/>
  <c r="H458" i="26" s="1"/>
  <c r="I457" i="26"/>
  <c r="G321" i="27"/>
  <c r="F321" i="27" s="1"/>
  <c r="G441" i="25"/>
  <c r="F441" i="25" s="1"/>
  <c r="H441" i="25" s="1"/>
  <c r="C442" i="25" l="1"/>
  <c r="G442" i="25" s="1"/>
  <c r="F442" i="25" s="1"/>
  <c r="I441" i="25"/>
  <c r="H321" i="27"/>
  <c r="C459" i="26"/>
  <c r="G459" i="26" s="1"/>
  <c r="F459" i="26" s="1"/>
  <c r="H459" i="26" s="1"/>
  <c r="I458" i="26"/>
  <c r="C460" i="26" l="1"/>
  <c r="G460" i="26" s="1"/>
  <c r="F460" i="26" s="1"/>
  <c r="H460" i="26" s="1"/>
  <c r="E461" i="26" s="1"/>
  <c r="I459" i="26"/>
  <c r="C322" i="27"/>
  <c r="D497" i="27"/>
  <c r="I321" i="27"/>
  <c r="E322" i="27"/>
  <c r="H442" i="25"/>
  <c r="E443" i="25" s="1"/>
  <c r="G322" i="27" l="1"/>
  <c r="F322" i="27" s="1"/>
  <c r="C461" i="26"/>
  <c r="G461" i="26" s="1"/>
  <c r="F461" i="26" s="1"/>
  <c r="H461" i="26" s="1"/>
  <c r="I460" i="26"/>
  <c r="C443" i="25"/>
  <c r="G443" i="25" s="1"/>
  <c r="F443" i="25" s="1"/>
  <c r="H443" i="25" s="1"/>
  <c r="I442" i="25"/>
  <c r="N53" i="26"/>
  <c r="AN5" i="3"/>
  <c r="P53" i="26" l="1"/>
  <c r="C444" i="25"/>
  <c r="I443" i="25"/>
  <c r="E444" i="25"/>
  <c r="H322" i="27"/>
  <c r="C462" i="26"/>
  <c r="I461" i="26"/>
  <c r="E462" i="26"/>
  <c r="O53" i="26"/>
  <c r="AN8" i="3"/>
  <c r="G462" i="26" l="1"/>
  <c r="F462" i="26" s="1"/>
  <c r="H462" i="26" s="1"/>
  <c r="AN9" i="3"/>
  <c r="AN23" i="3" s="1"/>
  <c r="N41" i="12" s="1"/>
  <c r="M53" i="26"/>
  <c r="C323" i="27"/>
  <c r="I322" i="27"/>
  <c r="E323" i="27"/>
  <c r="G444" i="25"/>
  <c r="F444" i="25" s="1"/>
  <c r="C463" i="26" l="1"/>
  <c r="G463" i="26" s="1"/>
  <c r="F463" i="26" s="1"/>
  <c r="H463" i="26" s="1"/>
  <c r="I462" i="26"/>
  <c r="G323" i="27"/>
  <c r="F323" i="27" s="1"/>
  <c r="H444" i="25"/>
  <c r="H323" i="27" l="1"/>
  <c r="C464" i="26"/>
  <c r="G464" i="26" s="1"/>
  <c r="F464" i="26" s="1"/>
  <c r="I463" i="26"/>
  <c r="C445" i="25"/>
  <c r="G445" i="25" s="1"/>
  <c r="F445" i="25" s="1"/>
  <c r="I444" i="25"/>
  <c r="H445" i="25" l="1"/>
  <c r="E446" i="25" s="1"/>
  <c r="H464" i="26"/>
  <c r="C324" i="27"/>
  <c r="I323" i="27"/>
  <c r="E324" i="27"/>
  <c r="G324" i="27" l="1"/>
  <c r="F324" i="27" s="1"/>
  <c r="H324" i="27" s="1"/>
  <c r="C465" i="26"/>
  <c r="G465" i="26" s="1"/>
  <c r="F465" i="26" s="1"/>
  <c r="H465" i="26" s="1"/>
  <c r="I464" i="26"/>
  <c r="C446" i="25"/>
  <c r="G446" i="25" s="1"/>
  <c r="F446" i="25" s="1"/>
  <c r="I445" i="25"/>
  <c r="C466" i="26" l="1"/>
  <c r="G466" i="26" s="1"/>
  <c r="F466" i="26" s="1"/>
  <c r="I465" i="26"/>
  <c r="H446" i="25"/>
  <c r="C325" i="27"/>
  <c r="I324" i="27"/>
  <c r="E325" i="27"/>
  <c r="G325" i="27" l="1"/>
  <c r="F325" i="27" s="1"/>
  <c r="H325" i="27" s="1"/>
  <c r="C447" i="25"/>
  <c r="I446" i="25"/>
  <c r="E447" i="25"/>
  <c r="H466" i="26"/>
  <c r="E467" i="26" s="1"/>
  <c r="C326" i="27" l="1"/>
  <c r="I325" i="27"/>
  <c r="E326" i="27"/>
  <c r="C467" i="26"/>
  <c r="G467" i="26" s="1"/>
  <c r="F467" i="26" s="1"/>
  <c r="H467" i="26" s="1"/>
  <c r="I466" i="26"/>
  <c r="G447" i="25"/>
  <c r="F447" i="25" s="1"/>
  <c r="H447" i="25" s="1"/>
  <c r="C468" i="26" l="1"/>
  <c r="I467" i="26"/>
  <c r="E468" i="26"/>
  <c r="C448" i="25"/>
  <c r="G448" i="25" s="1"/>
  <c r="F448" i="25" s="1"/>
  <c r="H448" i="25" s="1"/>
  <c r="E449" i="25" s="1"/>
  <c r="I447" i="25"/>
  <c r="G326" i="27"/>
  <c r="F326" i="27" s="1"/>
  <c r="H326" i="27" s="1"/>
  <c r="C327" i="27" l="1"/>
  <c r="I326" i="27"/>
  <c r="E327" i="27"/>
  <c r="C449" i="25"/>
  <c r="G449" i="25" s="1"/>
  <c r="F449" i="25" s="1"/>
  <c r="H449" i="25" s="1"/>
  <c r="I448" i="25"/>
  <c r="G468" i="26"/>
  <c r="F468" i="26" s="1"/>
  <c r="N52" i="25"/>
  <c r="P52" i="25" l="1"/>
  <c r="C450" i="25"/>
  <c r="I449" i="25"/>
  <c r="E450" i="25"/>
  <c r="H468" i="26"/>
  <c r="G327" i="27"/>
  <c r="F327" i="27" s="1"/>
  <c r="O52" i="25"/>
  <c r="M52" i="25" l="1"/>
  <c r="H327" i="27"/>
  <c r="G450" i="25"/>
  <c r="F450" i="25" s="1"/>
  <c r="C469" i="26"/>
  <c r="G469" i="26" s="1"/>
  <c r="F469" i="26" s="1"/>
  <c r="H469" i="26" s="1"/>
  <c r="I468" i="26"/>
  <c r="H450" i="25" l="1"/>
  <c r="C470" i="26"/>
  <c r="G470" i="26" s="1"/>
  <c r="F470" i="26" s="1"/>
  <c r="I469" i="26"/>
  <c r="C328" i="27"/>
  <c r="I327" i="27"/>
  <c r="E328" i="27"/>
  <c r="G328" i="27" l="1"/>
  <c r="F328" i="27" s="1"/>
  <c r="H470" i="26"/>
  <c r="C451" i="25"/>
  <c r="G451" i="25" s="1"/>
  <c r="F451" i="25" s="1"/>
  <c r="I450" i="25"/>
  <c r="H328" i="27" l="1"/>
  <c r="E329" i="27" s="1"/>
  <c r="H451" i="25"/>
  <c r="E452" i="25" s="1"/>
  <c r="C471" i="26"/>
  <c r="G471" i="26" s="1"/>
  <c r="F471" i="26" s="1"/>
  <c r="I470" i="26"/>
  <c r="H471" i="26" l="1"/>
  <c r="C452" i="25"/>
  <c r="G452" i="25" s="1"/>
  <c r="F452" i="25" s="1"/>
  <c r="I451" i="25"/>
  <c r="C329" i="27"/>
  <c r="G329" i="27" s="1"/>
  <c r="F329" i="27" s="1"/>
  <c r="I328" i="27"/>
  <c r="N42" i="27"/>
  <c r="P42" i="27" l="1"/>
  <c r="H329" i="27"/>
  <c r="H452" i="25"/>
  <c r="C472" i="26"/>
  <c r="G472" i="26" s="1"/>
  <c r="F472" i="26" s="1"/>
  <c r="H472" i="26" s="1"/>
  <c r="E473" i="26" s="1"/>
  <c r="I471" i="26"/>
  <c r="O42" i="27"/>
  <c r="M42" i="27" l="1"/>
  <c r="C473" i="26"/>
  <c r="G473" i="26" s="1"/>
  <c r="F473" i="26" s="1"/>
  <c r="H473" i="26" s="1"/>
  <c r="I472" i="26"/>
  <c r="C453" i="25"/>
  <c r="I452" i="25"/>
  <c r="E453" i="25"/>
  <c r="C330" i="27"/>
  <c r="E330" i="27"/>
  <c r="I329" i="27"/>
  <c r="N54" i="26"/>
  <c r="AO5" i="3"/>
  <c r="P54" i="26" l="1"/>
  <c r="G330" i="27"/>
  <c r="F330" i="27" s="1"/>
  <c r="C474" i="26"/>
  <c r="I473" i="26"/>
  <c r="E474" i="26"/>
  <c r="G453" i="25"/>
  <c r="F453" i="25" s="1"/>
  <c r="O54" i="26"/>
  <c r="AO8" i="3"/>
  <c r="AO9" i="3" l="1"/>
  <c r="AO23" i="3" s="1"/>
  <c r="N42" i="12" s="1"/>
  <c r="M54" i="26"/>
  <c r="H453" i="25"/>
  <c r="H330" i="27"/>
  <c r="G474" i="26"/>
  <c r="F474" i="26" s="1"/>
  <c r="H474" i="26" l="1"/>
  <c r="C454" i="25"/>
  <c r="G454" i="25" s="1"/>
  <c r="F454" i="25" s="1"/>
  <c r="I453" i="25"/>
  <c r="C331" i="27"/>
  <c r="I330" i="27"/>
  <c r="E331" i="27"/>
  <c r="G331" i="27" l="1"/>
  <c r="F331" i="27" s="1"/>
  <c r="H331" i="27" s="1"/>
  <c r="H454" i="25"/>
  <c r="E455" i="25" s="1"/>
  <c r="C475" i="26"/>
  <c r="G475" i="26" s="1"/>
  <c r="F475" i="26" s="1"/>
  <c r="H475" i="26" s="1"/>
  <c r="I474" i="26"/>
  <c r="C476" i="26" l="1"/>
  <c r="G476" i="26" s="1"/>
  <c r="F476" i="26" s="1"/>
  <c r="I475" i="26"/>
  <c r="C455" i="25"/>
  <c r="G455" i="25" s="1"/>
  <c r="F455" i="25" s="1"/>
  <c r="I454" i="25"/>
  <c r="C332" i="27"/>
  <c r="I331" i="27"/>
  <c r="E332" i="27"/>
  <c r="G332" i="27" l="1"/>
  <c r="F332" i="27" s="1"/>
  <c r="H455" i="25"/>
  <c r="H476" i="26"/>
  <c r="H332" i="27" l="1"/>
  <c r="C477" i="26"/>
  <c r="G477" i="26" s="1"/>
  <c r="F477" i="26" s="1"/>
  <c r="H477" i="26" s="1"/>
  <c r="I476" i="26"/>
  <c r="C456" i="25"/>
  <c r="I455" i="25"/>
  <c r="E456" i="25"/>
  <c r="C478" i="26" l="1"/>
  <c r="G478" i="26" s="1"/>
  <c r="F478" i="26" s="1"/>
  <c r="I477" i="26"/>
  <c r="G456" i="25"/>
  <c r="F456" i="25" s="1"/>
  <c r="C333" i="27"/>
  <c r="I332" i="27"/>
  <c r="E333" i="27"/>
  <c r="H456" i="25" l="1"/>
  <c r="G333" i="27"/>
  <c r="F333" i="27" s="1"/>
  <c r="H333" i="27" s="1"/>
  <c r="H478" i="26"/>
  <c r="E479" i="26" s="1"/>
  <c r="C479" i="26" l="1"/>
  <c r="G479" i="26" s="1"/>
  <c r="F479" i="26" s="1"/>
  <c r="H479" i="26" s="1"/>
  <c r="I478" i="26"/>
  <c r="C334" i="27"/>
  <c r="I333" i="27"/>
  <c r="E334" i="27"/>
  <c r="C457" i="25"/>
  <c r="G457" i="25" s="1"/>
  <c r="F457" i="25" s="1"/>
  <c r="H457" i="25" s="1"/>
  <c r="E458" i="25" s="1"/>
  <c r="I456" i="25"/>
  <c r="C458" i="25" l="1"/>
  <c r="G458" i="25" s="1"/>
  <c r="F458" i="25" s="1"/>
  <c r="I457" i="25"/>
  <c r="C480" i="26"/>
  <c r="I479" i="26"/>
  <c r="E480" i="26"/>
  <c r="G334" i="27"/>
  <c r="F334" i="27" s="1"/>
  <c r="H334" i="27" l="1"/>
  <c r="G480" i="26"/>
  <c r="F480" i="26" s="1"/>
  <c r="H480" i="26" s="1"/>
  <c r="H458" i="25"/>
  <c r="C481" i="26" l="1"/>
  <c r="G481" i="26" s="1"/>
  <c r="F481" i="26" s="1"/>
  <c r="H481" i="26" s="1"/>
  <c r="I480" i="26"/>
  <c r="C459" i="25"/>
  <c r="I458" i="25"/>
  <c r="E459" i="25"/>
  <c r="C335" i="27"/>
  <c r="I334" i="27"/>
  <c r="E335" i="27"/>
  <c r="G459" i="25" l="1"/>
  <c r="F459" i="25" s="1"/>
  <c r="H459" i="25" s="1"/>
  <c r="G335" i="27"/>
  <c r="F335" i="27" s="1"/>
  <c r="H335" i="27" s="1"/>
  <c r="C482" i="26"/>
  <c r="G482" i="26" s="1"/>
  <c r="F482" i="26" s="1"/>
  <c r="I481" i="26"/>
  <c r="C336" i="27" l="1"/>
  <c r="I335" i="27"/>
  <c r="E336" i="27"/>
  <c r="H482" i="26"/>
  <c r="C460" i="25"/>
  <c r="G460" i="25" s="1"/>
  <c r="F460" i="25" s="1"/>
  <c r="H460" i="25" s="1"/>
  <c r="E461" i="25" s="1"/>
  <c r="I459" i="25"/>
  <c r="C461" i="25" l="1"/>
  <c r="G461" i="25" s="1"/>
  <c r="F461" i="25" s="1"/>
  <c r="H461" i="25" s="1"/>
  <c r="I460" i="25"/>
  <c r="C483" i="26"/>
  <c r="G483" i="26" s="1"/>
  <c r="F483" i="26" s="1"/>
  <c r="H483" i="26" s="1"/>
  <c r="I482" i="26"/>
  <c r="G336" i="27"/>
  <c r="F336" i="27" s="1"/>
  <c r="N53" i="25"/>
  <c r="P53" i="25" l="1"/>
  <c r="C484" i="26"/>
  <c r="G484" i="26" s="1"/>
  <c r="F484" i="26" s="1"/>
  <c r="H484" i="26" s="1"/>
  <c r="E485" i="26" s="1"/>
  <c r="I483" i="26"/>
  <c r="C462" i="25"/>
  <c r="I461" i="25"/>
  <c r="E462" i="25"/>
  <c r="H336" i="27"/>
  <c r="O53" i="25"/>
  <c r="G462" i="25" l="1"/>
  <c r="F462" i="25" s="1"/>
  <c r="H462" i="25" s="1"/>
  <c r="M53" i="25"/>
  <c r="C485" i="26"/>
  <c r="G485" i="26" s="1"/>
  <c r="F485" i="26" s="1"/>
  <c r="H485" i="26" s="1"/>
  <c r="I484" i="26"/>
  <c r="C337" i="27"/>
  <c r="I336" i="27"/>
  <c r="E337" i="27"/>
  <c r="AP5" i="3"/>
  <c r="N55" i="26"/>
  <c r="P55" i="26" l="1"/>
  <c r="C463" i="25"/>
  <c r="G463" i="25" s="1"/>
  <c r="F463" i="25" s="1"/>
  <c r="I462" i="25"/>
  <c r="G337" i="27"/>
  <c r="F337" i="27" s="1"/>
  <c r="H337" i="27" s="1"/>
  <c r="C486" i="26"/>
  <c r="I485" i="26"/>
  <c r="E486" i="26"/>
  <c r="O55" i="26"/>
  <c r="AP8" i="3"/>
  <c r="AP9" i="3" l="1"/>
  <c r="AP23" i="3" s="1"/>
  <c r="N43" i="12" s="1"/>
  <c r="M55" i="26"/>
  <c r="H463" i="25"/>
  <c r="E464" i="25" s="1"/>
  <c r="C338" i="27"/>
  <c r="I337" i="27"/>
  <c r="E338" i="27"/>
  <c r="G486" i="26"/>
  <c r="F486" i="26" s="1"/>
  <c r="C464" i="25" l="1"/>
  <c r="G464" i="25" s="1"/>
  <c r="F464" i="25" s="1"/>
  <c r="I463" i="25"/>
  <c r="G338" i="27"/>
  <c r="F338" i="27" s="1"/>
  <c r="H486" i="26"/>
  <c r="H338" i="27" l="1"/>
  <c r="C487" i="26"/>
  <c r="G487" i="26" s="1"/>
  <c r="F487" i="26" s="1"/>
  <c r="I486" i="26"/>
  <c r="H464" i="25"/>
  <c r="C465" i="25" l="1"/>
  <c r="I464" i="25"/>
  <c r="E465" i="25"/>
  <c r="H487" i="26"/>
  <c r="C339" i="27"/>
  <c r="I338" i="27"/>
  <c r="E339" i="27"/>
  <c r="G339" i="27" l="1"/>
  <c r="F339" i="27" s="1"/>
  <c r="C488" i="26"/>
  <c r="G488" i="26" s="1"/>
  <c r="F488" i="26" s="1"/>
  <c r="H488" i="26" s="1"/>
  <c r="I487" i="26"/>
  <c r="G465" i="25"/>
  <c r="F465" i="25" s="1"/>
  <c r="H465" i="25" s="1"/>
  <c r="H339" i="27" l="1"/>
  <c r="C489" i="26"/>
  <c r="G489" i="26" s="1"/>
  <c r="F489" i="26" s="1"/>
  <c r="H489" i="26" s="1"/>
  <c r="I488" i="26"/>
  <c r="C466" i="25"/>
  <c r="G466" i="25" s="1"/>
  <c r="F466" i="25" s="1"/>
  <c r="I465" i="25"/>
  <c r="C490" i="26" l="1"/>
  <c r="G490" i="26" s="1"/>
  <c r="F490" i="26" s="1"/>
  <c r="H490" i="26" s="1"/>
  <c r="E491" i="26" s="1"/>
  <c r="I489" i="26"/>
  <c r="H466" i="25"/>
  <c r="E467" i="25" s="1"/>
  <c r="C340" i="27"/>
  <c r="I339" i="27"/>
  <c r="E340" i="27"/>
  <c r="C491" i="26" l="1"/>
  <c r="G491" i="26" s="1"/>
  <c r="F491" i="26" s="1"/>
  <c r="I490" i="26"/>
  <c r="C467" i="25"/>
  <c r="G467" i="25" s="1"/>
  <c r="F467" i="25" s="1"/>
  <c r="H467" i="25" s="1"/>
  <c r="I466" i="25"/>
  <c r="G340" i="27"/>
  <c r="F340" i="27" s="1"/>
  <c r="C468" i="25" l="1"/>
  <c r="I467" i="25"/>
  <c r="E468" i="25"/>
  <c r="H340" i="27"/>
  <c r="E341" i="27" s="1"/>
  <c r="H491" i="26"/>
  <c r="C492" i="26" l="1"/>
  <c r="I491" i="26"/>
  <c r="E492" i="26"/>
  <c r="C341" i="27"/>
  <c r="G341" i="27" s="1"/>
  <c r="F341" i="27" s="1"/>
  <c r="H341" i="27" s="1"/>
  <c r="I340" i="27"/>
  <c r="G468" i="25"/>
  <c r="F468" i="25" s="1"/>
  <c r="H468" i="25" s="1"/>
  <c r="N43" i="27"/>
  <c r="P43" i="27" l="1"/>
  <c r="C469" i="25"/>
  <c r="G469" i="25" s="1"/>
  <c r="F469" i="25" s="1"/>
  <c r="H469" i="25" s="1"/>
  <c r="E470" i="25" s="1"/>
  <c r="I468" i="25"/>
  <c r="C342" i="27"/>
  <c r="E342" i="27"/>
  <c r="I341" i="27"/>
  <c r="G492" i="26"/>
  <c r="F492" i="26" s="1"/>
  <c r="O43" i="27"/>
  <c r="M43" i="27" l="1"/>
  <c r="H492" i="26"/>
  <c r="C470" i="25"/>
  <c r="G470" i="25" s="1"/>
  <c r="F470" i="25" s="1"/>
  <c r="H470" i="25" s="1"/>
  <c r="I469" i="25"/>
  <c r="G342" i="27"/>
  <c r="F342" i="27" s="1"/>
  <c r="C471" i="25" l="1"/>
  <c r="I470" i="25"/>
  <c r="E471" i="25"/>
  <c r="H342" i="27"/>
  <c r="C493" i="26"/>
  <c r="G493" i="26" s="1"/>
  <c r="F493" i="26" s="1"/>
  <c r="H493" i="26" s="1"/>
  <c r="I492" i="26"/>
  <c r="C494" i="26" l="1"/>
  <c r="G494" i="26" s="1"/>
  <c r="F494" i="26" s="1"/>
  <c r="H494" i="26" s="1"/>
  <c r="I493" i="26"/>
  <c r="C343" i="27"/>
  <c r="I342" i="27"/>
  <c r="E343" i="27"/>
  <c r="G471" i="25"/>
  <c r="F471" i="25" s="1"/>
  <c r="H471" i="25" l="1"/>
  <c r="C495" i="26"/>
  <c r="G495" i="26" s="1"/>
  <c r="F495" i="26" s="1"/>
  <c r="H495" i="26" s="1"/>
  <c r="I494" i="26"/>
  <c r="G343" i="27"/>
  <c r="F343" i="27" s="1"/>
  <c r="H343" i="27" l="1"/>
  <c r="C496" i="26"/>
  <c r="G496" i="26" s="1"/>
  <c r="F496" i="26" s="1"/>
  <c r="H496" i="26" s="1"/>
  <c r="E497" i="26" s="1"/>
  <c r="I495" i="26"/>
  <c r="C472" i="25"/>
  <c r="G472" i="25" s="1"/>
  <c r="F472" i="25" s="1"/>
  <c r="I471" i="25"/>
  <c r="C497" i="26" l="1"/>
  <c r="G497" i="26" s="1"/>
  <c r="F497" i="26" s="1"/>
  <c r="H497" i="26" s="1"/>
  <c r="I497" i="26" s="1"/>
  <c r="H498" i="26" s="1" a="1"/>
  <c r="H498" i="26" s="1"/>
  <c r="I496" i="26"/>
  <c r="H472" i="25"/>
  <c r="E473" i="25" s="1"/>
  <c r="C344" i="27"/>
  <c r="I343" i="27"/>
  <c r="E344" i="27"/>
  <c r="N56" i="26"/>
  <c r="AQ5" i="3"/>
  <c r="P56" i="26" l="1"/>
  <c r="G344" i="27"/>
  <c r="F344" i="27" s="1"/>
  <c r="C473" i="25"/>
  <c r="G473" i="25" s="1"/>
  <c r="F473" i="25" s="1"/>
  <c r="I472" i="25"/>
  <c r="O56" i="26"/>
  <c r="AQ8" i="3"/>
  <c r="N54" i="25"/>
  <c r="AQ9" i="3" l="1"/>
  <c r="AQ23" i="3" s="1"/>
  <c r="N44" i="12" s="1"/>
  <c r="P54" i="25"/>
  <c r="M56" i="26"/>
  <c r="M15" i="26" s="1"/>
  <c r="D11" i="26" s="1"/>
  <c r="H344" i="27"/>
  <c r="H473" i="25"/>
  <c r="O54" i="25"/>
  <c r="M54" i="25" l="1"/>
  <c r="C345" i="27"/>
  <c r="I344" i="27"/>
  <c r="E345" i="27"/>
  <c r="G43" i="8"/>
  <c r="C27" i="8"/>
  <c r="C474" i="25"/>
  <c r="I473" i="25"/>
  <c r="E474" i="25"/>
  <c r="B28" i="21" l="1"/>
  <c r="C28" i="21"/>
  <c r="G474" i="25"/>
  <c r="F474" i="25" s="1"/>
  <c r="H474" i="25" s="1"/>
  <c r="G345" i="27"/>
  <c r="F345" i="27" s="1"/>
  <c r="C10" i="21"/>
  <c r="C18" i="21"/>
  <c r="C26" i="21"/>
  <c r="C47" i="21"/>
  <c r="B16" i="21"/>
  <c r="B24" i="21"/>
  <c r="B32" i="21"/>
  <c r="B48" i="21"/>
  <c r="B42" i="21"/>
  <c r="B33" i="21"/>
  <c r="C11" i="21"/>
  <c r="C19" i="21"/>
  <c r="C37" i="21"/>
  <c r="C45" i="21"/>
  <c r="G42" i="8"/>
  <c r="C12" i="21"/>
  <c r="C20" i="21"/>
  <c r="B10" i="21"/>
  <c r="B18" i="21"/>
  <c r="B26" i="21"/>
  <c r="B45" i="21"/>
  <c r="B39" i="21"/>
  <c r="B11" i="21"/>
  <c r="B19" i="21"/>
  <c r="B44" i="21"/>
  <c r="B37" i="21"/>
  <c r="B12" i="21"/>
  <c r="B20" i="21"/>
  <c r="B36" i="21"/>
  <c r="C41" i="21"/>
  <c r="B30" i="21"/>
  <c r="B17" i="21"/>
  <c r="B47" i="21"/>
  <c r="C13" i="21"/>
  <c r="C21" i="21"/>
  <c r="C29" i="21"/>
  <c r="C39" i="21"/>
  <c r="B40" i="21"/>
  <c r="C48" i="21"/>
  <c r="C40" i="21"/>
  <c r="C36" i="21"/>
  <c r="B22" i="21"/>
  <c r="B43" i="21"/>
  <c r="B25" i="21"/>
  <c r="B38" i="21"/>
  <c r="C14" i="21"/>
  <c r="C22" i="21"/>
  <c r="C30" i="21"/>
  <c r="C44" i="21"/>
  <c r="C35" i="21"/>
  <c r="C15" i="21"/>
  <c r="C23" i="21"/>
  <c r="C31" i="21"/>
  <c r="C46" i="21"/>
  <c r="C43" i="21"/>
  <c r="B13" i="21"/>
  <c r="B21" i="21"/>
  <c r="B29" i="21"/>
  <c r="B46" i="21"/>
  <c r="B35" i="21"/>
  <c r="C16" i="21"/>
  <c r="C24" i="21"/>
  <c r="C32" i="21"/>
  <c r="B14" i="21"/>
  <c r="B34" i="21"/>
  <c r="B9" i="21"/>
  <c r="C9" i="21"/>
  <c r="C17" i="21"/>
  <c r="C25" i="21"/>
  <c r="C33" i="21"/>
  <c r="C38" i="21"/>
  <c r="C34" i="21"/>
  <c r="B15" i="21"/>
  <c r="B23" i="21"/>
  <c r="B31" i="21"/>
  <c r="B41" i="21"/>
  <c r="C42" i="21"/>
  <c r="D28" i="21"/>
  <c r="E28" i="21" l="1"/>
  <c r="C475" i="25"/>
  <c r="G475" i="25" s="1"/>
  <c r="F475" i="25" s="1"/>
  <c r="I474" i="25"/>
  <c r="H345" i="27"/>
  <c r="C14" i="23"/>
  <c r="D14" i="23" s="1"/>
  <c r="C22" i="23"/>
  <c r="D22" i="23" s="1"/>
  <c r="C30" i="23"/>
  <c r="D30" i="23" s="1"/>
  <c r="F10" i="28"/>
  <c r="F18" i="28"/>
  <c r="F26" i="28"/>
  <c r="D32" i="21"/>
  <c r="E32" i="21" s="1"/>
  <c r="D35" i="23"/>
  <c r="F40" i="28"/>
  <c r="F44" i="28"/>
  <c r="D47" i="23"/>
  <c r="D45" i="23"/>
  <c r="D46" i="23"/>
  <c r="C15" i="23"/>
  <c r="D15" i="23" s="1"/>
  <c r="C23" i="23"/>
  <c r="D23" i="23" s="1"/>
  <c r="C31" i="23"/>
  <c r="D31" i="23" s="1"/>
  <c r="F11" i="28"/>
  <c r="F19" i="28"/>
  <c r="F27" i="28"/>
  <c r="D33" i="21"/>
  <c r="D47" i="21"/>
  <c r="E47" i="21" s="1"/>
  <c r="C44" i="23"/>
  <c r="D42" i="21"/>
  <c r="E42" i="21" s="1"/>
  <c r="F34" i="28"/>
  <c r="C16" i="23"/>
  <c r="D16" i="23" s="1"/>
  <c r="C24" i="23"/>
  <c r="D24" i="23" s="1"/>
  <c r="C32" i="23"/>
  <c r="F12" i="28"/>
  <c r="F20" i="28"/>
  <c r="F28" i="28"/>
  <c r="D37" i="21"/>
  <c r="E37" i="21" s="1"/>
  <c r="D45" i="21"/>
  <c r="E45" i="21" s="1"/>
  <c r="D34" i="23"/>
  <c r="D38" i="23"/>
  <c r="C42" i="23"/>
  <c r="C40" i="23"/>
  <c r="D39" i="23"/>
  <c r="D43" i="23"/>
  <c r="C45" i="23"/>
  <c r="F35" i="28"/>
  <c r="D46" i="21"/>
  <c r="E46" i="21" s="1"/>
  <c r="D43" i="21"/>
  <c r="E43" i="21" s="1"/>
  <c r="C38" i="23"/>
  <c r="C43" i="23"/>
  <c r="C9" i="23"/>
  <c r="D9" i="23" s="1"/>
  <c r="C17" i="23"/>
  <c r="D17" i="23" s="1"/>
  <c r="C25" i="23"/>
  <c r="D25" i="23" s="1"/>
  <c r="C33" i="23"/>
  <c r="F13" i="28"/>
  <c r="F21" i="28"/>
  <c r="F29" i="28"/>
  <c r="F46" i="28"/>
  <c r="F47" i="28"/>
  <c r="D37" i="23"/>
  <c r="F37" i="28"/>
  <c r="D36" i="23"/>
  <c r="D40" i="23"/>
  <c r="C10" i="23"/>
  <c r="D10" i="23" s="1"/>
  <c r="C18" i="23"/>
  <c r="D18" i="23" s="1"/>
  <c r="C26" i="23"/>
  <c r="D26" i="23" s="1"/>
  <c r="F14" i="28"/>
  <c r="F22" i="28"/>
  <c r="F30" i="28"/>
  <c r="D32" i="23"/>
  <c r="F36" i="28"/>
  <c r="C34" i="23"/>
  <c r="C37" i="23"/>
  <c r="D39" i="21"/>
  <c r="E39" i="21" s="1"/>
  <c r="F41" i="28"/>
  <c r="C46" i="23"/>
  <c r="D44" i="23"/>
  <c r="F42" i="28"/>
  <c r="C11" i="23"/>
  <c r="D11" i="23" s="1"/>
  <c r="C19" i="23"/>
  <c r="D19" i="23" s="1"/>
  <c r="C27" i="23"/>
  <c r="D27" i="23" s="1"/>
  <c r="F15" i="28"/>
  <c r="F23" i="28"/>
  <c r="F31" i="28"/>
  <c r="D33" i="23"/>
  <c r="D44" i="21"/>
  <c r="E44" i="21" s="1"/>
  <c r="C36" i="23"/>
  <c r="F39" i="28"/>
  <c r="D41" i="23"/>
  <c r="C35" i="23"/>
  <c r="C47" i="23"/>
  <c r="D35" i="21"/>
  <c r="E35" i="21" s="1"/>
  <c r="D48" i="23"/>
  <c r="C41" i="23"/>
  <c r="F43" i="28"/>
  <c r="F45" i="28"/>
  <c r="C12" i="23"/>
  <c r="D12" i="23" s="1"/>
  <c r="C20" i="23"/>
  <c r="D20" i="23" s="1"/>
  <c r="C28" i="23"/>
  <c r="D28" i="23" s="1"/>
  <c r="F16" i="28"/>
  <c r="F24" i="28"/>
  <c r="F32" i="28"/>
  <c r="C13" i="23"/>
  <c r="D13" i="23" s="1"/>
  <c r="C21" i="23"/>
  <c r="D21" i="23" s="1"/>
  <c r="C29" i="23"/>
  <c r="D29" i="23" s="1"/>
  <c r="F9" i="28"/>
  <c r="F17" i="28"/>
  <c r="F25" i="28"/>
  <c r="F33" i="28"/>
  <c r="F38" i="28"/>
  <c r="D48" i="21"/>
  <c r="E48" i="21" s="1"/>
  <c r="D40" i="21"/>
  <c r="E40" i="21" s="1"/>
  <c r="D41" i="21"/>
  <c r="E41" i="21" s="1"/>
  <c r="D36" i="21"/>
  <c r="E36" i="21" s="1"/>
  <c r="C48" i="23"/>
  <c r="C39" i="23"/>
  <c r="D42" i="23"/>
  <c r="D38" i="21"/>
  <c r="E38" i="21" s="1"/>
  <c r="D34" i="21"/>
  <c r="E34" i="21" s="1"/>
  <c r="F48" i="28"/>
  <c r="B49" i="21"/>
  <c r="G37" i="8" s="1"/>
  <c r="C49" i="21"/>
  <c r="C52" i="21" s="1"/>
  <c r="G38" i="8" s="1"/>
  <c r="D29" i="21"/>
  <c r="D30" i="21"/>
  <c r="D31" i="21"/>
  <c r="D23" i="21"/>
  <c r="D21" i="21"/>
  <c r="D22" i="21"/>
  <c r="D25" i="21"/>
  <c r="D11" i="21"/>
  <c r="D19" i="21"/>
  <c r="D24" i="21"/>
  <c r="D18" i="21"/>
  <c r="D20" i="21"/>
  <c r="D9" i="21"/>
  <c r="D17" i="21"/>
  <c r="D13" i="21"/>
  <c r="D26" i="21"/>
  <c r="D10" i="21"/>
  <c r="D14" i="21"/>
  <c r="D15" i="21"/>
  <c r="D12" i="21"/>
  <c r="D16" i="21"/>
  <c r="E31" i="21" l="1"/>
  <c r="E30" i="21"/>
  <c r="E29" i="21"/>
  <c r="E26" i="21"/>
  <c r="E24" i="21"/>
  <c r="E25" i="21"/>
  <c r="E23" i="21"/>
  <c r="E11" i="21"/>
  <c r="E18" i="21"/>
  <c r="E21" i="21"/>
  <c r="E13" i="21"/>
  <c r="E10" i="21"/>
  <c r="E17" i="21"/>
  <c r="E20" i="21"/>
  <c r="E16" i="21"/>
  <c r="E22" i="21"/>
  <c r="E15" i="21"/>
  <c r="E14" i="21"/>
  <c r="E12" i="21"/>
  <c r="E19" i="21"/>
  <c r="F42" i="8"/>
  <c r="D49" i="21"/>
  <c r="D52" i="21" s="1"/>
  <c r="G39" i="8" s="1"/>
  <c r="C346" i="27"/>
  <c r="I345" i="27"/>
  <c r="E346" i="27"/>
  <c r="C49" i="23"/>
  <c r="C52" i="23" s="1"/>
  <c r="E9" i="21"/>
  <c r="H475" i="25"/>
  <c r="E476" i="25" s="1"/>
  <c r="D49" i="23"/>
  <c r="F49" i="28"/>
  <c r="E33" i="21"/>
  <c r="E49" i="21" l="1"/>
  <c r="G346" i="27"/>
  <c r="F346" i="27" s="1"/>
  <c r="C476" i="25"/>
  <c r="G476" i="25" s="1"/>
  <c r="F476" i="25" s="1"/>
  <c r="H476" i="25" s="1"/>
  <c r="I475" i="25"/>
  <c r="H346" i="27" l="1"/>
  <c r="C477" i="25"/>
  <c r="I476" i="25"/>
  <c r="E477" i="25"/>
  <c r="G477" i="25" l="1"/>
  <c r="F477" i="25" s="1"/>
  <c r="C347" i="27"/>
  <c r="I346" i="27"/>
  <c r="E347" i="27"/>
  <c r="H477" i="25" l="1"/>
  <c r="G347" i="27"/>
  <c r="F347" i="27" s="1"/>
  <c r="H347" i="27" l="1"/>
  <c r="C478" i="25"/>
  <c r="G478" i="25" s="1"/>
  <c r="F478" i="25" s="1"/>
  <c r="H478" i="25" s="1"/>
  <c r="E479" i="25" s="1"/>
  <c r="I477" i="25"/>
  <c r="C479" i="25" l="1"/>
  <c r="G479" i="25" s="1"/>
  <c r="F479" i="25" s="1"/>
  <c r="I478" i="25"/>
  <c r="C348" i="27"/>
  <c r="I347" i="27"/>
  <c r="E348" i="27"/>
  <c r="G348" i="27" l="1"/>
  <c r="F348" i="27" s="1"/>
  <c r="H479" i="25"/>
  <c r="C480" i="25" l="1"/>
  <c r="I479" i="25"/>
  <c r="E480" i="25"/>
  <c r="H348" i="27"/>
  <c r="C349" i="27" l="1"/>
  <c r="I348" i="27"/>
  <c r="E349" i="27"/>
  <c r="G480" i="25"/>
  <c r="F480" i="25" s="1"/>
  <c r="H480" i="25" l="1"/>
  <c r="G349" i="27"/>
  <c r="F349" i="27" s="1"/>
  <c r="H349" i="27" l="1"/>
  <c r="C481" i="25"/>
  <c r="G481" i="25" s="1"/>
  <c r="F481" i="25" s="1"/>
  <c r="I480" i="25"/>
  <c r="H481" i="25" l="1"/>
  <c r="E482" i="25" s="1"/>
  <c r="C350" i="27"/>
  <c r="I349" i="27"/>
  <c r="E350" i="27"/>
  <c r="G350" i="27" l="1"/>
  <c r="F350" i="27" s="1"/>
  <c r="C482" i="25"/>
  <c r="G482" i="25" s="1"/>
  <c r="F482" i="25" s="1"/>
  <c r="I481" i="25"/>
  <c r="H350" i="27" l="1"/>
  <c r="H482" i="25"/>
  <c r="C483" i="25" l="1"/>
  <c r="I482" i="25"/>
  <c r="E483" i="25"/>
  <c r="C351" i="27"/>
  <c r="I350" i="27"/>
  <c r="E351" i="27"/>
  <c r="G351" i="27" l="1"/>
  <c r="F351" i="27" s="1"/>
  <c r="G483" i="25"/>
  <c r="F483" i="25" s="1"/>
  <c r="H483" i="25" l="1"/>
  <c r="H351" i="27"/>
  <c r="C352" i="27" l="1"/>
  <c r="I351" i="27"/>
  <c r="E352" i="27"/>
  <c r="C484" i="25"/>
  <c r="G484" i="25" s="1"/>
  <c r="F484" i="25" s="1"/>
  <c r="H484" i="25" s="1"/>
  <c r="E485" i="25" s="1"/>
  <c r="I483" i="25"/>
  <c r="C485" i="25" l="1"/>
  <c r="G485" i="25" s="1"/>
  <c r="F485" i="25" s="1"/>
  <c r="H485" i="25" s="1"/>
  <c r="I484" i="25"/>
  <c r="G352" i="27"/>
  <c r="F352" i="27" s="1"/>
  <c r="N55" i="25"/>
  <c r="P55" i="25" l="1"/>
  <c r="H352" i="27"/>
  <c r="E353" i="27" s="1"/>
  <c r="C486" i="25"/>
  <c r="I485" i="25"/>
  <c r="E486" i="25"/>
  <c r="O55" i="25"/>
  <c r="M55" i="25" l="1"/>
  <c r="G486" i="25"/>
  <c r="F486" i="25" s="1"/>
  <c r="C353" i="27"/>
  <c r="G353" i="27" s="1"/>
  <c r="F353" i="27" s="1"/>
  <c r="H353" i="27" s="1"/>
  <c r="I352" i="27"/>
  <c r="N44" i="27"/>
  <c r="P44" i="27" l="1"/>
  <c r="C354" i="27"/>
  <c r="E354" i="27"/>
  <c r="I353" i="27"/>
  <c r="H486" i="25"/>
  <c r="O44" i="27"/>
  <c r="M44" i="27" l="1"/>
  <c r="C487" i="25"/>
  <c r="G487" i="25" s="1"/>
  <c r="F487" i="25" s="1"/>
  <c r="I486" i="25"/>
  <c r="G354" i="27"/>
  <c r="F354" i="27" s="1"/>
  <c r="H354" i="27" l="1"/>
  <c r="H487" i="25"/>
  <c r="E488" i="25" s="1"/>
  <c r="C488" i="25" l="1"/>
  <c r="G488" i="25" s="1"/>
  <c r="F488" i="25" s="1"/>
  <c r="I487" i="25"/>
  <c r="C355" i="27"/>
  <c r="I354" i="27"/>
  <c r="E355" i="27"/>
  <c r="G355" i="27" l="1"/>
  <c r="F355" i="27" s="1"/>
  <c r="H355" i="27" s="1"/>
  <c r="H488" i="25"/>
  <c r="C356" i="27" l="1"/>
  <c r="I355" i="27"/>
  <c r="E356" i="27"/>
  <c r="C489" i="25"/>
  <c r="I488" i="25"/>
  <c r="E489" i="25"/>
  <c r="G489" i="25" l="1"/>
  <c r="F489" i="25" s="1"/>
  <c r="G356" i="27"/>
  <c r="F356" i="27" s="1"/>
  <c r="H356" i="27" l="1"/>
  <c r="H489" i="25"/>
  <c r="C490" i="25" l="1"/>
  <c r="G490" i="25" s="1"/>
  <c r="F490" i="25" s="1"/>
  <c r="I489" i="25"/>
  <c r="C357" i="27"/>
  <c r="I356" i="27"/>
  <c r="E357" i="27"/>
  <c r="G357" i="27" l="1"/>
  <c r="F357" i="27" s="1"/>
  <c r="H490" i="25"/>
  <c r="E491" i="25" s="1"/>
  <c r="H357" i="27" l="1"/>
  <c r="C491" i="25"/>
  <c r="G491" i="25" s="1"/>
  <c r="F491" i="25" s="1"/>
  <c r="H491" i="25" s="1"/>
  <c r="I490" i="25"/>
  <c r="C492" i="25" l="1"/>
  <c r="I491" i="25"/>
  <c r="E492" i="25"/>
  <c r="C358" i="27"/>
  <c r="I357" i="27"/>
  <c r="E358" i="27"/>
  <c r="G358" i="27" l="1"/>
  <c r="F358" i="27" s="1"/>
  <c r="G492" i="25"/>
  <c r="F492" i="25" s="1"/>
  <c r="H492" i="25" l="1"/>
  <c r="H358" i="27"/>
  <c r="C359" i="27" l="1"/>
  <c r="I358" i="27"/>
  <c r="E359" i="27"/>
  <c r="C493" i="25"/>
  <c r="G493" i="25" s="1"/>
  <c r="F493" i="25" s="1"/>
  <c r="I492" i="25"/>
  <c r="H493" i="25" l="1"/>
  <c r="E494" i="25" s="1"/>
  <c r="G359" i="27"/>
  <c r="F359" i="27" s="1"/>
  <c r="H359" i="27" l="1"/>
  <c r="C494" i="25"/>
  <c r="G494" i="25" s="1"/>
  <c r="F494" i="25" s="1"/>
  <c r="H494" i="25" s="1"/>
  <c r="I493" i="25"/>
  <c r="C495" i="25" l="1"/>
  <c r="I494" i="25"/>
  <c r="E495" i="25"/>
  <c r="C360" i="27"/>
  <c r="I359" i="27"/>
  <c r="E360" i="27"/>
  <c r="G360" i="27" l="1"/>
  <c r="F360" i="27" s="1"/>
  <c r="G495" i="25"/>
  <c r="F495" i="25" s="1"/>
  <c r="H495" i="25" l="1"/>
  <c r="H360" i="27"/>
  <c r="C361" i="27" l="1"/>
  <c r="I360" i="27"/>
  <c r="E361" i="27"/>
  <c r="C496" i="25"/>
  <c r="G496" i="25" s="1"/>
  <c r="F496" i="25" s="1"/>
  <c r="H496" i="25" s="1"/>
  <c r="E497" i="25" s="1"/>
  <c r="I495" i="25"/>
  <c r="C497" i="25" l="1"/>
  <c r="G497" i="25" s="1"/>
  <c r="F497" i="25" s="1"/>
  <c r="H497" i="25" s="1"/>
  <c r="I497" i="25" s="1"/>
  <c r="H498" i="25" s="1" a="1"/>
  <c r="H498" i="25" s="1"/>
  <c r="I496" i="25"/>
  <c r="G361" i="27"/>
  <c r="F361" i="27" s="1"/>
  <c r="N56" i="25"/>
  <c r="P56" i="25" l="1"/>
  <c r="H361" i="27"/>
  <c r="O56" i="25"/>
  <c r="M56" i="25" l="1"/>
  <c r="M15" i="25" s="1"/>
  <c r="D11" i="25" s="1"/>
  <c r="C362" i="27"/>
  <c r="I361" i="27"/>
  <c r="E362" i="27"/>
  <c r="G362" i="27" l="1"/>
  <c r="F362" i="27" s="1"/>
  <c r="H362" i="27" l="1"/>
  <c r="C363" i="27" l="1"/>
  <c r="I362" i="27"/>
  <c r="E363" i="27"/>
  <c r="G363" i="27" l="1"/>
  <c r="F363" i="27" s="1"/>
  <c r="H363" i="27" l="1"/>
  <c r="C364" i="27" l="1"/>
  <c r="I363" i="27"/>
  <c r="E364" i="27"/>
  <c r="G364" i="27" l="1"/>
  <c r="F364" i="27" s="1"/>
  <c r="H364" i="27" l="1"/>
  <c r="E365" i="27" s="1"/>
  <c r="C365" i="27" l="1"/>
  <c r="G365" i="27" s="1"/>
  <c r="F365" i="27" s="1"/>
  <c r="H365" i="27" s="1"/>
  <c r="I364" i="27"/>
  <c r="N45" i="27"/>
  <c r="P45" i="27" l="1"/>
  <c r="C366" i="27"/>
  <c r="E366" i="27"/>
  <c r="I365" i="27"/>
  <c r="O45" i="27"/>
  <c r="M45" i="27" l="1"/>
  <c r="G366" i="27"/>
  <c r="F366" i="27" s="1"/>
  <c r="H366" i="27" s="1"/>
  <c r="C367" i="27" l="1"/>
  <c r="I366" i="27"/>
  <c r="E367" i="27"/>
  <c r="G367" i="27" l="1"/>
  <c r="F367" i="27" s="1"/>
  <c r="H367" i="27" l="1"/>
  <c r="C368" i="27" l="1"/>
  <c r="I367" i="27"/>
  <c r="E368" i="27"/>
  <c r="G368" i="27" l="1"/>
  <c r="F368" i="27" s="1"/>
  <c r="H368" i="27" l="1"/>
  <c r="C369" i="27" l="1"/>
  <c r="I368" i="27"/>
  <c r="E369" i="27"/>
  <c r="G369" i="27" l="1"/>
  <c r="F369" i="27" s="1"/>
  <c r="H369" i="27" l="1"/>
  <c r="C370" i="27" l="1"/>
  <c r="I369" i="27"/>
  <c r="E370" i="27"/>
  <c r="G370" i="27" l="1"/>
  <c r="F370" i="27" s="1"/>
  <c r="H370" i="27" l="1"/>
  <c r="C371" i="27" l="1"/>
  <c r="I370" i="27"/>
  <c r="E371" i="27"/>
  <c r="G371" i="27" l="1"/>
  <c r="F371" i="27" s="1"/>
  <c r="H371" i="27" l="1"/>
  <c r="C372" i="27" l="1"/>
  <c r="I371" i="27"/>
  <c r="E372" i="27"/>
  <c r="G372" i="27" l="1"/>
  <c r="F372" i="27" s="1"/>
  <c r="H372" i="27" l="1"/>
  <c r="C373" i="27" l="1"/>
  <c r="I372" i="27"/>
  <c r="E373" i="27"/>
  <c r="G373" i="27" l="1"/>
  <c r="F373" i="27" s="1"/>
  <c r="H373" i="27" l="1"/>
  <c r="C374" i="27" l="1"/>
  <c r="I373" i="27"/>
  <c r="E374" i="27"/>
  <c r="G374" i="27" l="1"/>
  <c r="F374" i="27" s="1"/>
  <c r="H374" i="27" l="1"/>
  <c r="C375" i="27" l="1"/>
  <c r="I374" i="27"/>
  <c r="E375" i="27"/>
  <c r="G375" i="27" l="1"/>
  <c r="F375" i="27" s="1"/>
  <c r="H375" i="27" l="1"/>
  <c r="C376" i="27" l="1"/>
  <c r="I375" i="27"/>
  <c r="E376" i="27"/>
  <c r="G376" i="27" l="1"/>
  <c r="F376" i="27" s="1"/>
  <c r="H376" i="27" l="1"/>
  <c r="E377" i="27" s="1"/>
  <c r="C377" i="27" l="1"/>
  <c r="G377" i="27" s="1"/>
  <c r="F377" i="27" s="1"/>
  <c r="I376" i="27"/>
  <c r="N46" i="27"/>
  <c r="P46" i="27" l="1"/>
  <c r="H377" i="27"/>
  <c r="O46" i="27"/>
  <c r="M46" i="27" l="1"/>
  <c r="C378" i="27"/>
  <c r="E378" i="27"/>
  <c r="I377" i="27"/>
  <c r="G378" i="27" l="1"/>
  <c r="F378" i="27" s="1"/>
  <c r="H378" i="27" l="1"/>
  <c r="C379" i="27" l="1"/>
  <c r="I378" i="27"/>
  <c r="E379" i="27"/>
  <c r="G379" i="27" l="1"/>
  <c r="F379" i="27" s="1"/>
  <c r="H379" i="27" l="1"/>
  <c r="C380" i="27" l="1"/>
  <c r="I379" i="27"/>
  <c r="E380" i="27"/>
  <c r="G380" i="27" l="1"/>
  <c r="F380" i="27" s="1"/>
  <c r="H380" i="27" s="1"/>
  <c r="C381" i="27" l="1"/>
  <c r="I380" i="27"/>
  <c r="E381" i="27"/>
  <c r="G381" i="27" l="1"/>
  <c r="F381" i="27" s="1"/>
  <c r="H381" i="27" l="1"/>
  <c r="C382" i="27" l="1"/>
  <c r="I381" i="27"/>
  <c r="E382" i="27"/>
  <c r="G382" i="27" l="1"/>
  <c r="F382" i="27" s="1"/>
  <c r="H382" i="27" l="1"/>
  <c r="C383" i="27" l="1"/>
  <c r="I382" i="27"/>
  <c r="E383" i="27"/>
  <c r="G383" i="27" l="1"/>
  <c r="F383" i="27" s="1"/>
  <c r="H383" i="27" l="1"/>
  <c r="C384" i="27" l="1"/>
  <c r="I383" i="27"/>
  <c r="E384" i="27"/>
  <c r="G384" i="27" l="1"/>
  <c r="F384" i="27" s="1"/>
  <c r="H384" i="27" l="1"/>
  <c r="C385" i="27" l="1"/>
  <c r="I384" i="27"/>
  <c r="E385" i="27"/>
  <c r="G385" i="27" l="1"/>
  <c r="F385" i="27" s="1"/>
  <c r="H385" i="27" s="1"/>
  <c r="C386" i="27" l="1"/>
  <c r="I385" i="27"/>
  <c r="E386" i="27"/>
  <c r="G386" i="27" l="1"/>
  <c r="F386" i="27" s="1"/>
  <c r="H386" i="27" l="1"/>
  <c r="C387" i="27" l="1"/>
  <c r="I386" i="27"/>
  <c r="E387" i="27"/>
  <c r="G387" i="27" l="1"/>
  <c r="F387" i="27" s="1"/>
  <c r="H387" i="27" l="1"/>
  <c r="C388" i="27" l="1"/>
  <c r="I387" i="27"/>
  <c r="E388" i="27"/>
  <c r="G388" i="27" l="1"/>
  <c r="F388" i="27" s="1"/>
  <c r="H388" i="27" l="1"/>
  <c r="E389" i="27" s="1"/>
  <c r="C389" i="27" l="1"/>
  <c r="G389" i="27" s="1"/>
  <c r="F389" i="27" s="1"/>
  <c r="I388" i="27"/>
  <c r="N47" i="27"/>
  <c r="P47" i="27" l="1"/>
  <c r="H389" i="27"/>
  <c r="O47" i="27"/>
  <c r="M47" i="27" l="1"/>
  <c r="C390" i="27"/>
  <c r="E390" i="27"/>
  <c r="I389" i="27"/>
  <c r="G390" i="27" l="1"/>
  <c r="F390" i="27" s="1"/>
  <c r="H390" i="27" l="1"/>
  <c r="C391" i="27" l="1"/>
  <c r="I390" i="27"/>
  <c r="E391" i="27"/>
  <c r="G391" i="27" l="1"/>
  <c r="F391" i="27" s="1"/>
  <c r="H391" i="27" l="1"/>
  <c r="C392" i="27" l="1"/>
  <c r="I391" i="27"/>
  <c r="E392" i="27"/>
  <c r="G392" i="27" l="1"/>
  <c r="F392" i="27" s="1"/>
  <c r="H392" i="27" l="1"/>
  <c r="C393" i="27" l="1"/>
  <c r="I392" i="27"/>
  <c r="E393" i="27"/>
  <c r="G393" i="27" l="1"/>
  <c r="F393" i="27" s="1"/>
  <c r="H393" i="27" l="1"/>
  <c r="C394" i="27" l="1"/>
  <c r="I393" i="27"/>
  <c r="E394" i="27"/>
  <c r="G394" i="27" l="1"/>
  <c r="F394" i="27" s="1"/>
  <c r="H394" i="27" l="1"/>
  <c r="C395" i="27" l="1"/>
  <c r="I394" i="27"/>
  <c r="E395" i="27"/>
  <c r="G395" i="27" l="1"/>
  <c r="F395" i="27" s="1"/>
  <c r="H395" i="27" l="1"/>
  <c r="C396" i="27" l="1"/>
  <c r="I395" i="27"/>
  <c r="E396" i="27"/>
  <c r="G396" i="27" l="1"/>
  <c r="F396" i="27" s="1"/>
  <c r="H396" i="27" l="1"/>
  <c r="C397" i="27" l="1"/>
  <c r="I396" i="27"/>
  <c r="E397" i="27"/>
  <c r="G397" i="27" l="1"/>
  <c r="F397" i="27" s="1"/>
  <c r="H397" i="27" l="1"/>
  <c r="C398" i="27" l="1"/>
  <c r="I397" i="27"/>
  <c r="E398" i="27"/>
  <c r="G398" i="27" l="1"/>
  <c r="F398" i="27" s="1"/>
  <c r="H398" i="27" l="1"/>
  <c r="C399" i="27" l="1"/>
  <c r="I398" i="27"/>
  <c r="E399" i="27"/>
  <c r="G399" i="27" l="1"/>
  <c r="F399" i="27" s="1"/>
  <c r="H399" i="27" l="1"/>
  <c r="C400" i="27" l="1"/>
  <c r="I399" i="27"/>
  <c r="E400" i="27"/>
  <c r="G400" i="27" l="1"/>
  <c r="F400" i="27" s="1"/>
  <c r="H400" i="27" l="1"/>
  <c r="E401" i="27" s="1"/>
  <c r="C401" i="27" l="1"/>
  <c r="G401" i="27" s="1"/>
  <c r="F401" i="27" s="1"/>
  <c r="H401" i="27" s="1"/>
  <c r="I400" i="27"/>
  <c r="N48" i="27"/>
  <c r="P48" i="27" l="1"/>
  <c r="C402" i="27"/>
  <c r="E402" i="27"/>
  <c r="I401" i="27"/>
  <c r="O48" i="27"/>
  <c r="M48" i="27" l="1"/>
  <c r="G402" i="27"/>
  <c r="F402" i="27" s="1"/>
  <c r="H402" i="27" s="1"/>
  <c r="C403" i="27" l="1"/>
  <c r="I402" i="27"/>
  <c r="E403" i="27"/>
  <c r="G403" i="27" l="1"/>
  <c r="F403" i="27" s="1"/>
  <c r="H403" i="27" l="1"/>
  <c r="C404" i="27" l="1"/>
  <c r="I403" i="27"/>
  <c r="E404" i="27"/>
  <c r="G404" i="27" l="1"/>
  <c r="F404" i="27" s="1"/>
  <c r="H404" i="27" l="1"/>
  <c r="C405" i="27" l="1"/>
  <c r="I404" i="27"/>
  <c r="E405" i="27"/>
  <c r="G405" i="27" l="1"/>
  <c r="F405" i="27" s="1"/>
  <c r="H405" i="27" l="1"/>
  <c r="C406" i="27" l="1"/>
  <c r="I405" i="27"/>
  <c r="E406" i="27"/>
  <c r="G406" i="27" l="1"/>
  <c r="F406" i="27" s="1"/>
  <c r="H406" i="27" l="1"/>
  <c r="C407" i="27" l="1"/>
  <c r="I406" i="27"/>
  <c r="E407" i="27"/>
  <c r="G407" i="27" l="1"/>
  <c r="F407" i="27" s="1"/>
  <c r="H407" i="27" l="1"/>
  <c r="C408" i="27" l="1"/>
  <c r="I407" i="27"/>
  <c r="E408" i="27"/>
  <c r="G408" i="27" l="1"/>
  <c r="F408" i="27" s="1"/>
  <c r="H408" i="27" l="1"/>
  <c r="C409" i="27" l="1"/>
  <c r="I408" i="27"/>
  <c r="E409" i="27"/>
  <c r="G409" i="27" l="1"/>
  <c r="F409" i="27" s="1"/>
  <c r="H409" i="27" l="1"/>
  <c r="C410" i="27" l="1"/>
  <c r="I409" i="27"/>
  <c r="E410" i="27"/>
  <c r="G410" i="27" l="1"/>
  <c r="F410" i="27" s="1"/>
  <c r="H410" i="27" l="1"/>
  <c r="C411" i="27" l="1"/>
  <c r="I410" i="27"/>
  <c r="E411" i="27"/>
  <c r="G411" i="27" l="1"/>
  <c r="F411" i="27" s="1"/>
  <c r="H411" i="27" l="1"/>
  <c r="C412" i="27" l="1"/>
  <c r="I411" i="27"/>
  <c r="E412" i="27"/>
  <c r="G412" i="27" l="1"/>
  <c r="F412" i="27" s="1"/>
  <c r="H412" i="27" l="1"/>
  <c r="E413" i="27" s="1"/>
  <c r="C413" i="27" l="1"/>
  <c r="G413" i="27" s="1"/>
  <c r="F413" i="27" s="1"/>
  <c r="H413" i="27" s="1"/>
  <c r="I412" i="27"/>
  <c r="N49" i="27"/>
  <c r="P49" i="27" l="1"/>
  <c r="C414" i="27"/>
  <c r="E414" i="27"/>
  <c r="I413" i="27"/>
  <c r="O49" i="27"/>
  <c r="M49" i="27" l="1"/>
  <c r="G414" i="27"/>
  <c r="F414" i="27" s="1"/>
  <c r="H414" i="27" l="1"/>
  <c r="C415" i="27" l="1"/>
  <c r="I414" i="27"/>
  <c r="E415" i="27"/>
  <c r="G415" i="27" l="1"/>
  <c r="F415" i="27" s="1"/>
  <c r="H415" i="27" l="1"/>
  <c r="C416" i="27" l="1"/>
  <c r="I415" i="27"/>
  <c r="E416" i="27"/>
  <c r="G416" i="27" l="1"/>
  <c r="F416" i="27" s="1"/>
  <c r="H416" i="27" l="1"/>
  <c r="C417" i="27" l="1"/>
  <c r="I416" i="27"/>
  <c r="E417" i="27"/>
  <c r="G417" i="27" l="1"/>
  <c r="F417" i="27" s="1"/>
  <c r="H417" i="27" l="1"/>
  <c r="C418" i="27" l="1"/>
  <c r="I417" i="27"/>
  <c r="E418" i="27"/>
  <c r="G418" i="27" l="1"/>
  <c r="F418" i="27" s="1"/>
  <c r="H418" i="27" l="1"/>
  <c r="C419" i="27" l="1"/>
  <c r="I418" i="27"/>
  <c r="E419" i="27"/>
  <c r="G419" i="27" l="1"/>
  <c r="F419" i="27" s="1"/>
  <c r="H419" i="27" l="1"/>
  <c r="C420" i="27" l="1"/>
  <c r="I419" i="27"/>
  <c r="E420" i="27"/>
  <c r="G420" i="27" l="1"/>
  <c r="F420" i="27" s="1"/>
  <c r="H420" i="27" l="1"/>
  <c r="C421" i="27" l="1"/>
  <c r="I420" i="27"/>
  <c r="E421" i="27"/>
  <c r="G421" i="27" l="1"/>
  <c r="F421" i="27" s="1"/>
  <c r="H421" i="27" l="1"/>
  <c r="C422" i="27" l="1"/>
  <c r="I421" i="27"/>
  <c r="E422" i="27"/>
  <c r="G422" i="27" l="1"/>
  <c r="F422" i="27" s="1"/>
  <c r="H422" i="27" s="1"/>
  <c r="C423" i="27" l="1"/>
  <c r="I422" i="27"/>
  <c r="E423" i="27"/>
  <c r="G423" i="27" l="1"/>
  <c r="F423" i="27" s="1"/>
  <c r="H423" i="27" l="1"/>
  <c r="C424" i="27" l="1"/>
  <c r="I423" i="27"/>
  <c r="E424" i="27"/>
  <c r="G424" i="27" l="1"/>
  <c r="F424" i="27" s="1"/>
  <c r="H424" i="27" l="1"/>
  <c r="E425" i="27" s="1"/>
  <c r="C425" i="27" l="1"/>
  <c r="G425" i="27" s="1"/>
  <c r="F425" i="27" s="1"/>
  <c r="I424" i="27"/>
  <c r="N50" i="27"/>
  <c r="P50" i="27" l="1"/>
  <c r="H425" i="27"/>
  <c r="O50" i="27"/>
  <c r="M50" i="27" l="1"/>
  <c r="C426" i="27"/>
  <c r="E426" i="27"/>
  <c r="I425" i="27"/>
  <c r="G426" i="27" l="1"/>
  <c r="F426" i="27" s="1"/>
  <c r="H426" i="27" l="1"/>
  <c r="C427" i="27" l="1"/>
  <c r="I426" i="27"/>
  <c r="E427" i="27"/>
  <c r="G427" i="27" l="1"/>
  <c r="F427" i="27" s="1"/>
  <c r="H427" i="27" l="1"/>
  <c r="C428" i="27" l="1"/>
  <c r="I427" i="27"/>
  <c r="E428" i="27"/>
  <c r="G428" i="27" l="1"/>
  <c r="F428" i="27" s="1"/>
  <c r="H428" i="27" l="1"/>
  <c r="C429" i="27" l="1"/>
  <c r="I428" i="27"/>
  <c r="E429" i="27"/>
  <c r="G429" i="27" l="1"/>
  <c r="F429" i="27" s="1"/>
  <c r="H429" i="27" l="1"/>
  <c r="C430" i="27" l="1"/>
  <c r="I429" i="27"/>
  <c r="E430" i="27"/>
  <c r="G430" i="27" l="1"/>
  <c r="F430" i="27" s="1"/>
  <c r="H430" i="27" l="1"/>
  <c r="C431" i="27" l="1"/>
  <c r="I430" i="27"/>
  <c r="E431" i="27"/>
  <c r="G431" i="27" l="1"/>
  <c r="F431" i="27" s="1"/>
  <c r="H431" i="27" l="1"/>
  <c r="C432" i="27" l="1"/>
  <c r="I431" i="27"/>
  <c r="E432" i="27"/>
  <c r="G432" i="27" l="1"/>
  <c r="F432" i="27" s="1"/>
  <c r="H432" i="27" l="1"/>
  <c r="C433" i="27" l="1"/>
  <c r="I432" i="27"/>
  <c r="E433" i="27"/>
  <c r="G433" i="27" l="1"/>
  <c r="F433" i="27" s="1"/>
  <c r="H433" i="27" l="1"/>
  <c r="C434" i="27" l="1"/>
  <c r="I433" i="27"/>
  <c r="E434" i="27"/>
  <c r="G434" i="27" l="1"/>
  <c r="F434" i="27" s="1"/>
  <c r="H434" i="27" l="1"/>
  <c r="C435" i="27" l="1"/>
  <c r="I434" i="27"/>
  <c r="E435" i="27"/>
  <c r="G435" i="27" l="1"/>
  <c r="F435" i="27" s="1"/>
  <c r="H435" i="27" l="1"/>
  <c r="C436" i="27" l="1"/>
  <c r="I435" i="27"/>
  <c r="E436" i="27"/>
  <c r="G436" i="27" l="1"/>
  <c r="F436" i="27" s="1"/>
  <c r="H436" i="27" l="1"/>
  <c r="E437" i="27" s="1"/>
  <c r="C437" i="27" l="1"/>
  <c r="G437" i="27" s="1"/>
  <c r="F437" i="27" s="1"/>
  <c r="I436" i="27"/>
  <c r="N51" i="27"/>
  <c r="P51" i="27" l="1"/>
  <c r="H437" i="27"/>
  <c r="O51" i="27"/>
  <c r="M51" i="27" l="1"/>
  <c r="C438" i="27"/>
  <c r="E438" i="27"/>
  <c r="I437" i="27"/>
  <c r="G438" i="27" l="1"/>
  <c r="F438" i="27" s="1"/>
  <c r="H438" i="27" l="1"/>
  <c r="C439" i="27" l="1"/>
  <c r="I438" i="27"/>
  <c r="E439" i="27"/>
  <c r="G439" i="27" l="1"/>
  <c r="F439" i="27" s="1"/>
  <c r="H439" i="27" l="1"/>
  <c r="C440" i="27" l="1"/>
  <c r="I439" i="27"/>
  <c r="E440" i="27"/>
  <c r="G440" i="27" l="1"/>
  <c r="F440" i="27" s="1"/>
  <c r="H440" i="27" l="1"/>
  <c r="C441" i="27" l="1"/>
  <c r="I440" i="27"/>
  <c r="E441" i="27"/>
  <c r="G441" i="27" l="1"/>
  <c r="F441" i="27" s="1"/>
  <c r="H441" i="27" l="1"/>
  <c r="C442" i="27" l="1"/>
  <c r="I441" i="27"/>
  <c r="E442" i="27"/>
  <c r="G442" i="27" l="1"/>
  <c r="F442" i="27" s="1"/>
  <c r="H442" i="27" l="1"/>
  <c r="C443" i="27" l="1"/>
  <c r="I442" i="27"/>
  <c r="E443" i="27"/>
  <c r="G443" i="27" l="1"/>
  <c r="F443" i="27" s="1"/>
  <c r="H443" i="27" l="1"/>
  <c r="C444" i="27" l="1"/>
  <c r="I443" i="27"/>
  <c r="E444" i="27"/>
  <c r="G444" i="27" l="1"/>
  <c r="F444" i="27" s="1"/>
  <c r="H444" i="27" l="1"/>
  <c r="C445" i="27" l="1"/>
  <c r="I444" i="27"/>
  <c r="E445" i="27"/>
  <c r="G445" i="27" l="1"/>
  <c r="F445" i="27" s="1"/>
  <c r="H445" i="27" l="1"/>
  <c r="C446" i="27" l="1"/>
  <c r="I445" i="27"/>
  <c r="E446" i="27"/>
  <c r="G446" i="27" l="1"/>
  <c r="F446" i="27" s="1"/>
  <c r="H446" i="27" l="1"/>
  <c r="C447" i="27" l="1"/>
  <c r="I446" i="27"/>
  <c r="E447" i="27"/>
  <c r="G447" i="27" l="1"/>
  <c r="F447" i="27" s="1"/>
  <c r="H447" i="27" l="1"/>
  <c r="C448" i="27" l="1"/>
  <c r="I447" i="27"/>
  <c r="E448" i="27"/>
  <c r="G448" i="27" l="1"/>
  <c r="F448" i="27" s="1"/>
  <c r="H448" i="27" l="1"/>
  <c r="E449" i="27" s="1"/>
  <c r="C449" i="27" l="1"/>
  <c r="G449" i="27" s="1"/>
  <c r="F449" i="27" s="1"/>
  <c r="H449" i="27" s="1"/>
  <c r="I448" i="27"/>
  <c r="N52" i="27"/>
  <c r="P52" i="27" l="1"/>
  <c r="C450" i="27"/>
  <c r="E450" i="27"/>
  <c r="I449" i="27"/>
  <c r="O52" i="27"/>
  <c r="G450" i="27" l="1"/>
  <c r="F450" i="27" s="1"/>
  <c r="M52" i="27"/>
  <c r="H450" i="27" l="1"/>
  <c r="C451" i="27" l="1"/>
  <c r="I450" i="27"/>
  <c r="E451" i="27"/>
  <c r="G451" i="27" l="1"/>
  <c r="F451" i="27" s="1"/>
  <c r="H451" i="27" l="1"/>
  <c r="C452" i="27" l="1"/>
  <c r="I451" i="27"/>
  <c r="E452" i="27"/>
  <c r="G452" i="27" l="1"/>
  <c r="F452" i="27" s="1"/>
  <c r="H452" i="27" l="1"/>
  <c r="C453" i="27" l="1"/>
  <c r="I452" i="27"/>
  <c r="E453" i="27"/>
  <c r="G453" i="27" l="1"/>
  <c r="F453" i="27" s="1"/>
  <c r="H453" i="27" l="1"/>
  <c r="C454" i="27" l="1"/>
  <c r="I453" i="27"/>
  <c r="E454" i="27"/>
  <c r="G454" i="27" l="1"/>
  <c r="F454" i="27" s="1"/>
  <c r="H454" i="27" l="1"/>
  <c r="C455" i="27" l="1"/>
  <c r="I454" i="27"/>
  <c r="E455" i="27"/>
  <c r="G455" i="27" l="1"/>
  <c r="F455" i="27" s="1"/>
  <c r="H455" i="27" l="1"/>
  <c r="C456" i="27" l="1"/>
  <c r="I455" i="27"/>
  <c r="E456" i="27"/>
  <c r="G456" i="27" l="1"/>
  <c r="F456" i="27" s="1"/>
  <c r="H456" i="27" l="1"/>
  <c r="C457" i="27" l="1"/>
  <c r="I456" i="27"/>
  <c r="E457" i="27"/>
  <c r="G457" i="27" l="1"/>
  <c r="F457" i="27" s="1"/>
  <c r="H457" i="27" l="1"/>
  <c r="C458" i="27" l="1"/>
  <c r="I457" i="27"/>
  <c r="E458" i="27"/>
  <c r="G458" i="27" l="1"/>
  <c r="F458" i="27" s="1"/>
  <c r="H458" i="27" l="1"/>
  <c r="C459" i="27" l="1"/>
  <c r="I458" i="27"/>
  <c r="E459" i="27"/>
  <c r="G459" i="27" l="1"/>
  <c r="F459" i="27" s="1"/>
  <c r="H459" i="27" l="1"/>
  <c r="C460" i="27" l="1"/>
  <c r="I459" i="27"/>
  <c r="E460" i="27"/>
  <c r="G460" i="27" l="1"/>
  <c r="F460" i="27" s="1"/>
  <c r="H460" i="27" l="1"/>
  <c r="E461" i="27" s="1"/>
  <c r="C461" i="27" l="1"/>
  <c r="G461" i="27" s="1"/>
  <c r="F461" i="27" s="1"/>
  <c r="I460" i="27"/>
  <c r="N53" i="27"/>
  <c r="P53" i="27" l="1"/>
  <c r="H461" i="27"/>
  <c r="O53" i="27"/>
  <c r="M53" i="27" l="1"/>
  <c r="C462" i="27"/>
  <c r="E462" i="27"/>
  <c r="I461" i="27"/>
  <c r="G462" i="27" l="1"/>
  <c r="F462" i="27" s="1"/>
  <c r="H462" i="27" l="1"/>
  <c r="C463" i="27" l="1"/>
  <c r="I462" i="27"/>
  <c r="E463" i="27"/>
  <c r="G463" i="27" l="1"/>
  <c r="F463" i="27" s="1"/>
  <c r="H463" i="27" l="1"/>
  <c r="C464" i="27" l="1"/>
  <c r="I463" i="27"/>
  <c r="E464" i="27"/>
  <c r="G464" i="27" l="1"/>
  <c r="F464" i="27" s="1"/>
  <c r="H464" i="27" l="1"/>
  <c r="C465" i="27" l="1"/>
  <c r="I464" i="27"/>
  <c r="E465" i="27"/>
  <c r="G465" i="27" l="1"/>
  <c r="F465" i="27" s="1"/>
  <c r="H465" i="27" l="1"/>
  <c r="C466" i="27" l="1"/>
  <c r="I465" i="27"/>
  <c r="E466" i="27"/>
  <c r="G466" i="27" l="1"/>
  <c r="F466" i="27" s="1"/>
  <c r="H466" i="27" l="1"/>
  <c r="C467" i="27" l="1"/>
  <c r="I466" i="27"/>
  <c r="E467" i="27"/>
  <c r="G467" i="27" l="1"/>
  <c r="F467" i="27" s="1"/>
  <c r="H467" i="27" l="1"/>
  <c r="C468" i="27" l="1"/>
  <c r="I467" i="27"/>
  <c r="E468" i="27"/>
  <c r="G468" i="27" l="1"/>
  <c r="F468" i="27" s="1"/>
  <c r="H468" i="27" l="1"/>
  <c r="C469" i="27" l="1"/>
  <c r="I468" i="27"/>
  <c r="E469" i="27"/>
  <c r="G469" i="27" l="1"/>
  <c r="F469" i="27" s="1"/>
  <c r="H469" i="27" l="1"/>
  <c r="C470" i="27" l="1"/>
  <c r="I469" i="27"/>
  <c r="E470" i="27"/>
  <c r="G470" i="27" l="1"/>
  <c r="F470" i="27" s="1"/>
  <c r="H470" i="27" l="1"/>
  <c r="C471" i="27" l="1"/>
  <c r="I470" i="27"/>
  <c r="E471" i="27"/>
  <c r="G471" i="27" l="1"/>
  <c r="F471" i="27" s="1"/>
  <c r="H471" i="27" l="1"/>
  <c r="C472" i="27" l="1"/>
  <c r="I471" i="27"/>
  <c r="E472" i="27"/>
  <c r="G472" i="27" l="1"/>
  <c r="F472" i="27" s="1"/>
  <c r="H472" i="27" l="1"/>
  <c r="E473" i="27" s="1"/>
  <c r="C473" i="27" l="1"/>
  <c r="G473" i="27" s="1"/>
  <c r="F473" i="27" s="1"/>
  <c r="H473" i="27" s="1"/>
  <c r="I472" i="27"/>
  <c r="N54" i="27"/>
  <c r="P54" i="27" l="1"/>
  <c r="C474" i="27"/>
  <c r="E474" i="27"/>
  <c r="I473" i="27"/>
  <c r="O54" i="27"/>
  <c r="M54" i="27" l="1"/>
  <c r="G474" i="27"/>
  <c r="F474" i="27" s="1"/>
  <c r="H474" i="27" l="1"/>
  <c r="C475" i="27" l="1"/>
  <c r="I474" i="27"/>
  <c r="E475" i="27"/>
  <c r="G475" i="27" l="1"/>
  <c r="F475" i="27" s="1"/>
  <c r="H475" i="27" l="1"/>
  <c r="C476" i="27" l="1"/>
  <c r="I475" i="27"/>
  <c r="E476" i="27"/>
  <c r="G476" i="27" l="1"/>
  <c r="F476" i="27" s="1"/>
  <c r="H476" i="27" l="1"/>
  <c r="C477" i="27" l="1"/>
  <c r="I476" i="27"/>
  <c r="E477" i="27"/>
  <c r="G477" i="27" l="1"/>
  <c r="F477" i="27" s="1"/>
  <c r="H477" i="27" l="1"/>
  <c r="C478" i="27" l="1"/>
  <c r="I477" i="27"/>
  <c r="E478" i="27"/>
  <c r="G478" i="27" l="1"/>
  <c r="F478" i="27" s="1"/>
  <c r="H478" i="27" l="1"/>
  <c r="C479" i="27" l="1"/>
  <c r="I478" i="27"/>
  <c r="E479" i="27"/>
  <c r="G479" i="27" l="1"/>
  <c r="F479" i="27" s="1"/>
  <c r="H479" i="27" l="1"/>
  <c r="C480" i="27" l="1"/>
  <c r="I479" i="27"/>
  <c r="E480" i="27"/>
  <c r="G480" i="27" l="1"/>
  <c r="F480" i="27" s="1"/>
  <c r="H480" i="27" l="1"/>
  <c r="C481" i="27" l="1"/>
  <c r="I480" i="27"/>
  <c r="E481" i="27"/>
  <c r="G481" i="27" l="1"/>
  <c r="F481" i="27" s="1"/>
  <c r="H481" i="27" l="1"/>
  <c r="C482" i="27" l="1"/>
  <c r="I481" i="27"/>
  <c r="E482" i="27"/>
  <c r="G482" i="27" l="1"/>
  <c r="F482" i="27" s="1"/>
  <c r="H482" i="27" l="1"/>
  <c r="C483" i="27" l="1"/>
  <c r="I482" i="27"/>
  <c r="E483" i="27"/>
  <c r="G483" i="27" l="1"/>
  <c r="F483" i="27" s="1"/>
  <c r="H483" i="27" l="1"/>
  <c r="C484" i="27" l="1"/>
  <c r="I483" i="27"/>
  <c r="E484" i="27"/>
  <c r="G484" i="27" l="1"/>
  <c r="F484" i="27" s="1"/>
  <c r="H484" i="27" l="1"/>
  <c r="E485" i="27" s="1"/>
  <c r="C485" i="27" l="1"/>
  <c r="G485" i="27" s="1"/>
  <c r="F485" i="27" s="1"/>
  <c r="I484" i="27"/>
  <c r="N55" i="27"/>
  <c r="P55" i="27" l="1"/>
  <c r="H485" i="27"/>
  <c r="O55" i="27"/>
  <c r="M55" i="27" l="1"/>
  <c r="C486" i="27"/>
  <c r="E486" i="27"/>
  <c r="I485" i="27"/>
  <c r="G486" i="27" l="1"/>
  <c r="F486" i="27" s="1"/>
  <c r="H486" i="27" l="1"/>
  <c r="C487" i="27" l="1"/>
  <c r="I486" i="27"/>
  <c r="E487" i="27"/>
  <c r="G487" i="27" l="1"/>
  <c r="F487" i="27" s="1"/>
  <c r="H487" i="27" l="1"/>
  <c r="C488" i="27" l="1"/>
  <c r="I487" i="27"/>
  <c r="E488" i="27"/>
  <c r="G488" i="27" l="1"/>
  <c r="F488" i="27" s="1"/>
  <c r="H488" i="27" l="1"/>
  <c r="C489" i="27" l="1"/>
  <c r="I488" i="27"/>
  <c r="E489" i="27"/>
  <c r="G489" i="27" l="1"/>
  <c r="F489" i="27" s="1"/>
  <c r="H489" i="27" l="1"/>
  <c r="C490" i="27" l="1"/>
  <c r="I489" i="27"/>
  <c r="E490" i="27"/>
  <c r="G490" i="27" l="1"/>
  <c r="F490" i="27" s="1"/>
  <c r="H490" i="27" l="1"/>
  <c r="C491" i="27" l="1"/>
  <c r="I490" i="27"/>
  <c r="E491" i="27"/>
  <c r="G491" i="27" l="1"/>
  <c r="F491" i="27" s="1"/>
  <c r="H491" i="27" l="1"/>
  <c r="C492" i="27" l="1"/>
  <c r="I491" i="27"/>
  <c r="E492" i="27"/>
  <c r="G492" i="27" l="1"/>
  <c r="F492" i="27" s="1"/>
  <c r="H492" i="27" l="1"/>
  <c r="C493" i="27" l="1"/>
  <c r="I492" i="27"/>
  <c r="E493" i="27"/>
  <c r="G493" i="27" l="1"/>
  <c r="F493" i="27" s="1"/>
  <c r="H493" i="27" l="1"/>
  <c r="C494" i="27" l="1"/>
  <c r="I493" i="27"/>
  <c r="E494" i="27"/>
  <c r="G494" i="27" l="1"/>
  <c r="F494" i="27" s="1"/>
  <c r="H494" i="27" l="1"/>
  <c r="C495" i="27" l="1"/>
  <c r="I494" i="27"/>
  <c r="E495" i="27"/>
  <c r="G495" i="27" l="1"/>
  <c r="F495" i="27" s="1"/>
  <c r="H495" i="27" l="1"/>
  <c r="C496" i="27" l="1"/>
  <c r="I495" i="27"/>
  <c r="E496" i="27"/>
  <c r="G496" i="27" l="1"/>
  <c r="F496" i="27" s="1"/>
  <c r="H496" i="27" l="1"/>
  <c r="E497" i="27" s="1"/>
  <c r="C497" i="27" l="1"/>
  <c r="G497" i="27" s="1"/>
  <c r="F497" i="27" s="1"/>
  <c r="H497" i="27" s="1"/>
  <c r="I497" i="27" s="1"/>
  <c r="I496" i="27"/>
  <c r="N56" i="27"/>
  <c r="P56" i="27" l="1"/>
  <c r="O56" i="27"/>
  <c r="M56" i="27" l="1"/>
  <c r="M15" i="27" s="1"/>
  <c r="D1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LMI</author>
  </authors>
  <commentList>
    <comment ref="E6" authorId="0" shapeId="0" xr:uid="{4CB92BA9-8BB8-0441-AC96-DCAE2FAE1B2D}">
      <text>
        <r>
          <rPr>
            <sz val="8"/>
            <color indexed="81"/>
            <rFont val="Tahoma"/>
            <family val="2"/>
          </rPr>
          <t xml:space="preserve">
HHV value is sourced from EPA MRR.  
EPA MRR Biogas HHV value = 0.000841 MMBtu / scf
0.0423 = lb. CH4/scf (at 520R or 60F) or (1/0.0423) 23.641 scf / lb. CH4
2.20462 lbs./kg
1000 kg / MT
This emission factor was checked against those found in the WRI GHG Protocol and found to be consistent with the range WRI biogas HHV = 0.0123214 MMBtu / kg</t>
        </r>
      </text>
    </comment>
    <comment ref="E7" authorId="0" shapeId="0" xr:uid="{710A24EE-26A3-F340-8561-1A1D31AC49D7}">
      <text>
        <r>
          <rPr>
            <sz val="8"/>
            <color rgb="FF000000"/>
            <rFont val="Tahoma"/>
            <family val="2"/>
          </rPr>
          <t xml:space="preserve">
</t>
        </r>
        <r>
          <rPr>
            <sz val="8"/>
            <color rgb="FF000000"/>
            <rFont val="Tahoma"/>
            <family val="2"/>
          </rPr>
          <t xml:space="preserve">HHV value is sourced from EPA MRR.  
</t>
        </r>
        <r>
          <rPr>
            <sz val="8"/>
            <color rgb="FF000000"/>
            <rFont val="Tahoma"/>
            <family val="2"/>
          </rPr>
          <t xml:space="preserve">EPA MRR Biogas HHV value = 0.000841 MMBtu / scf
</t>
        </r>
        <r>
          <rPr>
            <sz val="8"/>
            <color rgb="FF000000"/>
            <rFont val="Tahoma"/>
            <family val="2"/>
          </rPr>
          <t xml:space="preserve">0.0423 = lb. CH4/scf (at 520R or 60F) or (1/0.0423) 23.641 scf / lb. CH4
</t>
        </r>
        <r>
          <rPr>
            <sz val="8"/>
            <color rgb="FF000000"/>
            <rFont val="Tahoma"/>
            <family val="2"/>
          </rPr>
          <t xml:space="preserve">2.20462 lbs./kg
</t>
        </r>
        <r>
          <rPr>
            <sz val="8"/>
            <color rgb="FF000000"/>
            <rFont val="Tahoma"/>
            <family val="2"/>
          </rPr>
          <t>This emission factor was checked against those found in the WRI GHG Protocol and found to be consistent with the range WRI biogas HHV = 0.0123214 MMBtu / kg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<sst xmlns="http://schemas.openxmlformats.org/spreadsheetml/2006/main" count="1663" uniqueCount="644">
  <si>
    <t>(a)</t>
  </si>
  <si>
    <t>(b)</t>
  </si>
  <si>
    <t>(c)</t>
  </si>
  <si>
    <t>(d)</t>
  </si>
  <si>
    <t>(e)</t>
  </si>
  <si>
    <t>(f)</t>
  </si>
  <si>
    <t>Total Guaranteed Cost Savings (b+e)</t>
  </si>
  <si>
    <t>IMPLEMENTATION PRICE BY ENERGY CONSERVATION MEASURE</t>
  </si>
  <si>
    <t>ECM No.</t>
  </si>
  <si>
    <t>ECM Size</t>
  </si>
  <si>
    <t>($)</t>
  </si>
  <si>
    <t>Management/Administration</t>
  </si>
  <si>
    <t>Maintenance</t>
  </si>
  <si>
    <t>Repair and Replacement</t>
  </si>
  <si>
    <t>Totals</t>
  </si>
  <si>
    <t>IMPORTANT INFORMATION:</t>
  </si>
  <si>
    <t>ECM</t>
  </si>
  <si>
    <t>Electric energy savings</t>
  </si>
  <si>
    <t>(kWh/yr)</t>
  </si>
  <si>
    <t>($/yr)</t>
  </si>
  <si>
    <t>Electric demand savings</t>
  </si>
  <si>
    <t>Natural gas savings</t>
  </si>
  <si>
    <t>Total energy savings</t>
  </si>
  <si>
    <t>Total energy cost savings</t>
  </si>
  <si>
    <t>Water savings</t>
  </si>
  <si>
    <t>Estimated annual cost savings</t>
  </si>
  <si>
    <t>Annual Contractor Payments</t>
  </si>
  <si>
    <t>ECM Number</t>
  </si>
  <si>
    <t>Simple Payback</t>
  </si>
  <si>
    <t>(Kgal/yr)</t>
  </si>
  <si>
    <t>Total Implementation &amp; Performance Period</t>
  </si>
  <si>
    <t>Performance Period Expenses</t>
  </si>
  <si>
    <t>Annual Cash Flow (Performance Period)</t>
  </si>
  <si>
    <t>Applied Incentives</t>
  </si>
  <si>
    <t>c1</t>
  </si>
  <si>
    <t>c2</t>
  </si>
  <si>
    <t>d1</t>
  </si>
  <si>
    <t>d2</t>
  </si>
  <si>
    <t>h</t>
  </si>
  <si>
    <t>i</t>
  </si>
  <si>
    <t>j</t>
  </si>
  <si>
    <t>b2</t>
  </si>
  <si>
    <t>b1</t>
  </si>
  <si>
    <t>Short Description</t>
  </si>
  <si>
    <t>Estimated Annual Cost Savings</t>
  </si>
  <si>
    <t>Natural Gas</t>
  </si>
  <si>
    <t>Water</t>
  </si>
  <si>
    <t>O&amp;M</t>
  </si>
  <si>
    <t>Operation</t>
  </si>
  <si>
    <t>e1a</t>
  </si>
  <si>
    <t>e2a</t>
  </si>
  <si>
    <t>e1b</t>
  </si>
  <si>
    <t>e2b</t>
  </si>
  <si>
    <t>g = b2+c2+d2+e2a+e2b</t>
  </si>
  <si>
    <t>(MMBtu/yr)</t>
  </si>
  <si>
    <t>O&amp;M cost savings</t>
  </si>
  <si>
    <t>Electric Energy</t>
  </si>
  <si>
    <t>Electric Demand</t>
  </si>
  <si>
    <t>Implementation price</t>
  </si>
  <si>
    <t>ECM Coverage (%)</t>
  </si>
  <si>
    <t>Other Savings 1: &lt;&lt;Insert Name&gt;&gt;</t>
  </si>
  <si>
    <t>Other Savings 2: &lt;&lt;Insert Name&gt;&gt;</t>
  </si>
  <si>
    <t xml:space="preserve">IMPORTANT INFORMATION:  </t>
  </si>
  <si>
    <t>(kW/mo)</t>
  </si>
  <si>
    <t>Performance Period (Year):</t>
  </si>
  <si>
    <t>Total Performance Period:</t>
  </si>
  <si>
    <t>TOTALS:</t>
  </si>
  <si>
    <t>Interest ($)</t>
  </si>
  <si>
    <t>Total Debt Service (a)</t>
  </si>
  <si>
    <t>Principal Repayment</t>
  </si>
  <si>
    <t>BASIC PROJECT INFORMATION</t>
  </si>
  <si>
    <t>Baseline electricity use</t>
  </si>
  <si>
    <t>Baseline electricity demand</t>
  </si>
  <si>
    <t>Baseline water use</t>
  </si>
  <si>
    <t>Baseline natural gas use</t>
  </si>
  <si>
    <t>Baseline O&amp;M costs</t>
  </si>
  <si>
    <t>Baseline other non-energy costs</t>
  </si>
  <si>
    <t>(kGal/yr)</t>
  </si>
  <si>
    <t>Other non-energy cost savings</t>
  </si>
  <si>
    <t>Baseline energy and resource costs</t>
  </si>
  <si>
    <t>k</t>
  </si>
  <si>
    <t>l = g+i+j+k</t>
  </si>
  <si>
    <t>m</t>
  </si>
  <si>
    <t>n = m/l</t>
  </si>
  <si>
    <t>(years)</t>
  </si>
  <si>
    <t>Baseline Energy and Non-energy Consumption</t>
  </si>
  <si>
    <t>Costs &amp; Financials</t>
  </si>
  <si>
    <t>PERFORMANCE PERIOD CASH FLOW</t>
  </si>
  <si>
    <t>Project Contact Information</t>
  </si>
  <si>
    <t>Other Information</t>
  </si>
  <si>
    <t>Project Identification &amp; Characteristics</t>
  </si>
  <si>
    <t>Other Non-energy Savings</t>
  </si>
  <si>
    <t>Enter values</t>
  </si>
  <si>
    <t>Loan amount</t>
  </si>
  <si>
    <t>Start date of loan</t>
  </si>
  <si>
    <t>Total of early payments</t>
  </si>
  <si>
    <t>No.</t>
  </si>
  <si>
    <t>Payment Date</t>
  </si>
  <si>
    <t>Beginning Balance</t>
  </si>
  <si>
    <t>Principal</t>
  </si>
  <si>
    <t>Interest</t>
  </si>
  <si>
    <t>Ending Balance</t>
  </si>
  <si>
    <t>From Summary Schedule</t>
  </si>
  <si>
    <t>If 1.0, then payment is in beginning.  If 0.0, then payment is at end.</t>
  </si>
  <si>
    <t>Amortization Calculator with Extra Payments</t>
  </si>
  <si>
    <t>SCHEDULE #1</t>
  </si>
  <si>
    <t>SCHEDULE #4</t>
  </si>
  <si>
    <t>SCHEDULE #5</t>
  </si>
  <si>
    <t>Initial loan period (default)</t>
  </si>
  <si>
    <t>Performance Period (year)</t>
  </si>
  <si>
    <t>ANNUAL DOLLAR SAVINGS ESCALATION RATES</t>
  </si>
  <si>
    <t>( a )</t>
  </si>
  <si>
    <t>( c )</t>
  </si>
  <si>
    <t>( d )</t>
  </si>
  <si>
    <t>Needed Payment</t>
  </si>
  <si>
    <t>Year</t>
  </si>
  <si>
    <t>P+I</t>
  </si>
  <si>
    <t>Monthly interest rate</t>
  </si>
  <si>
    <t>Default loan period in Months</t>
  </si>
  <si>
    <t>CANCELLATION CEILINGS</t>
  </si>
  <si>
    <t>Guaranteed Annual Cost Savings</t>
  </si>
  <si>
    <t xml:space="preserve">ANNUAL ITEMIZED SAVINGS </t>
  </si>
  <si>
    <t>Calculated Payment</t>
  </si>
  <si>
    <t xml:space="preserve">IMPORTANT INFORMATION:   </t>
  </si>
  <si>
    <t>PP Expenses-Incentives</t>
  </si>
  <si>
    <t>Actual Term in Years</t>
  </si>
  <si>
    <t>Actual Payment</t>
  </si>
  <si>
    <t>Scheduled number of payments (Yearly)</t>
  </si>
  <si>
    <t>Dollar Retained by the Customer</t>
  </si>
  <si>
    <t>Annual Payment Type</t>
  </si>
  <si>
    <t> End of Performance Period (Year)</t>
  </si>
  <si>
    <t>(3) Please select other savings types from dropdown menu provided above, if applicable.</t>
  </si>
  <si>
    <t>FIRST YEAR ESTIMATED COST SAVINGS BY ENERGY CONSERVATION MEASURE</t>
  </si>
  <si>
    <t>Primary Electric Utility</t>
  </si>
  <si>
    <t>Primary Natural Gas Utility</t>
  </si>
  <si>
    <t>Primary Water Utility</t>
  </si>
  <si>
    <t>Average Annual Energy Consumption of Affected Buildings (MMBtu/yr)</t>
  </si>
  <si>
    <t>List of Buildings in Project (separated by commas)</t>
  </si>
  <si>
    <t xml:space="preserve"> Type of other non-energy costs</t>
  </si>
  <si>
    <t>Primary Financier</t>
  </si>
  <si>
    <t>Contract #</t>
  </si>
  <si>
    <t>Other Savings Type 1: Other</t>
  </si>
  <si>
    <t>Other Savings Type 2: Other</t>
  </si>
  <si>
    <t>Federal Contract Type</t>
  </si>
  <si>
    <t>Implementation start through first year</t>
  </si>
  <si>
    <t>(2) All estimated cost savings numbers reported in Schedule 4 ("First year estimated cost savings by ECM") are assumed to have already incorporated the "Implementation start through first year" escalation rates reported above.</t>
  </si>
  <si>
    <t>Annual Dollar Savings Retained by Customer</t>
  </si>
  <si>
    <t>ECM Category</t>
  </si>
  <si>
    <t xml:space="preserve">(1)  This schedule is not to be altered or changed in any way.  </t>
  </si>
  <si>
    <t>(1) "Implementation start through first year" reflects cumulative escalation occurring during the length of the implementation period through the first year of savings.  This may represent an annual escalation figure that is compounded or another formulation (e.g., actual forecasts from utility companies).</t>
  </si>
  <si>
    <t>TOTAL - ANNUAL PAYMENTS (a)+(b)</t>
  </si>
  <si>
    <t>Annual Payments</t>
  </si>
  <si>
    <t>Total Payments (c+f)</t>
  </si>
  <si>
    <t>COST SAVINGS AND PAYMENTS</t>
  </si>
  <si>
    <t>(g)</t>
  </si>
  <si>
    <t>Implementation Period (Year 0)</t>
  </si>
  <si>
    <t>Debt Service/Performance Period Payments</t>
  </si>
  <si>
    <t>Project Facilitator</t>
  </si>
  <si>
    <t>Dollar savings retained by customer</t>
  </si>
  <si>
    <t>Boiler Plant Improvements</t>
  </si>
  <si>
    <t>Chiller Plant Improvements</t>
  </si>
  <si>
    <t>Lighting Improvements</t>
  </si>
  <si>
    <t>Building Envelope Modifications</t>
  </si>
  <si>
    <t>Chilled Water, Hot Water, and Steam Distribution Systems</t>
  </si>
  <si>
    <t>Electric Motors and Drives</t>
  </si>
  <si>
    <t>Refrigeration</t>
  </si>
  <si>
    <t>Distributed Generation</t>
  </si>
  <si>
    <t>Renewable Energy Systems</t>
  </si>
  <si>
    <t>Energy/Utility Distribution Systems</t>
  </si>
  <si>
    <t>Water and Sewer Conservation Systems</t>
  </si>
  <si>
    <t>Electrical Peak Shaving/Load Shifting</t>
  </si>
  <si>
    <t>Energy Related Process Improvements</t>
  </si>
  <si>
    <t>Appliance/Plug load reductions</t>
  </si>
  <si>
    <t>ADDITIONAL NOTES:</t>
  </si>
  <si>
    <t>Other Savings Type 1</t>
  </si>
  <si>
    <t>Other Savings Type 1: Coal</t>
  </si>
  <si>
    <t>Other Savings Type 1: Diesel</t>
  </si>
  <si>
    <t>Other Savings Type 1: Gasoline</t>
  </si>
  <si>
    <t>Other Savings Type 1: Heating Oil</t>
  </si>
  <si>
    <t>Other Savings Type 1: Jet Fuel</t>
  </si>
  <si>
    <t>Other Savings Type 1: Purchased Steam</t>
  </si>
  <si>
    <t>Other Savings Type 1: Chilled Water</t>
  </si>
  <si>
    <t>Other Savings Type 2</t>
  </si>
  <si>
    <t>Other Savings Type 2: Coal</t>
  </si>
  <si>
    <t>Other Savings Type 2: Diesel</t>
  </si>
  <si>
    <t>Other Savings Type 2: Gasoline</t>
  </si>
  <si>
    <t>Other Savings Type 2: Heating Oil</t>
  </si>
  <si>
    <t>Other Savings Type 2: Jet Fuel</t>
  </si>
  <si>
    <t>Other Savings Type 2: Purchased Steam</t>
  </si>
  <si>
    <t>Other Savings Type 2: Chilled Water</t>
  </si>
  <si>
    <t>Other Savings Type 1: Propane</t>
  </si>
  <si>
    <t>Other Savings Type 2: Propane</t>
  </si>
  <si>
    <t xml:space="preserve">Total Guaranteed Cost Savings </t>
  </si>
  <si>
    <t>Total Payments</t>
  </si>
  <si>
    <t xml:space="preserve">Total Estimated Cost Savings </t>
  </si>
  <si>
    <t xml:space="preserve">Annual Estimated Energy Savings (MMBtu) </t>
  </si>
  <si>
    <t xml:space="preserve">Annual Estimated Water Savings (kGal) </t>
  </si>
  <si>
    <t xml:space="preserve">Sub Agency Name/Region </t>
  </si>
  <si>
    <t>Task/Purchase Order #</t>
  </si>
  <si>
    <t xml:space="preserve">Agency Name* </t>
  </si>
  <si>
    <t>Estimated Cost Savings*</t>
  </si>
  <si>
    <t>Guaranteed Cost Savings*</t>
  </si>
  <si>
    <t>Payments*</t>
  </si>
  <si>
    <t>ECM - Technology Category*</t>
  </si>
  <si>
    <t>ECM Description – Title*</t>
  </si>
  <si>
    <t xml:space="preserve"> </t>
  </si>
  <si>
    <t>(3) The total of annual payments represents the contract price and should be supported by information submitted.</t>
  </si>
  <si>
    <t>Resource Enumerations</t>
  </si>
  <si>
    <t>(1) This schedule should only be completed if required by the contract.</t>
  </si>
  <si>
    <t xml:space="preserve">(2) Cancellation ceilings for each time period specified below establish the maximum termination liability for that time period, and include the remaining unamortized principal of the total amount financed for each time period specified above plus any prepayment charges.  Actual total termination costs will be negotiated.             </t>
  </si>
  <si>
    <t>Project Acceptance</t>
  </si>
  <si>
    <t>Project Name</t>
  </si>
  <si>
    <t>Primary Project Location-City</t>
  </si>
  <si>
    <t>Primary Project Location-State</t>
  </si>
  <si>
    <t>Primary Project Location-Zipcode</t>
  </si>
  <si>
    <t xml:space="preserve">Applicable Financial Index  </t>
  </si>
  <si>
    <t xml:space="preserve">Index Rate*    </t>
  </si>
  <si>
    <t>Added Premium (adjusted for tax incentives)*</t>
  </si>
  <si>
    <t>Project Interest Rate (sum of two above inputs)</t>
  </si>
  <si>
    <t>Financing Issue Date (mm/dd/yyyy)</t>
  </si>
  <si>
    <t xml:space="preserve">Effective Through (mm/dd/yyyy)   </t>
  </si>
  <si>
    <t xml:space="preserve">Primary Type of Financing (choose from list) </t>
  </si>
  <si>
    <t>Secondary Type of Financing (choose from list)</t>
  </si>
  <si>
    <t>LESS Implementation Period Payments (from Schedule-1, (c))</t>
  </si>
  <si>
    <t>Implementation Period (months)*</t>
  </si>
  <si>
    <t>Total Floor Area Affected by project (Square Feet)</t>
  </si>
  <si>
    <t>Market Segment</t>
  </si>
  <si>
    <t>List of Sites in Project (separated by commas)</t>
  </si>
  <si>
    <t>Number of Buildings in Project</t>
  </si>
  <si>
    <t>(1) Energy conversion factors for MMBtu:  MMBtu=1,000,000 Btu; 1 kWh of Electricity = 0.003413 MMBtu; 1 therm of Natural Gas = 0.1 MMBtu ; 1 gal of #2 Heating Oil = 0.13859 MMBtu; 1 gal of Gasoline = 0.12048 MMBtu; 1 gal of Diesel = 0.13738 MMBtul; 1 short ton of Coal (2,000 pounds)=19.548 MMBtu; 1 gal of Propane=0.091333 MMBtu.</t>
  </si>
  <si>
    <t>Project ID #</t>
  </si>
  <si>
    <t>Template Errors/Warnings</t>
  </si>
  <si>
    <t>Role</t>
  </si>
  <si>
    <t>Institution</t>
  </si>
  <si>
    <t>Name</t>
  </si>
  <si>
    <t>Title</t>
  </si>
  <si>
    <t>Email</t>
  </si>
  <si>
    <t>Phone</t>
  </si>
  <si>
    <t>Project Identification</t>
  </si>
  <si>
    <t>Project Characteristics</t>
  </si>
  <si>
    <t>Project Capitalization</t>
  </si>
  <si>
    <t>Financing Terms</t>
  </si>
  <si>
    <t>Project Financial Summary</t>
  </si>
  <si>
    <t>Performance Period (Year)</t>
  </si>
  <si>
    <t xml:space="preserve">Term (year)        </t>
  </si>
  <si>
    <t>Project Implementation Pricing Worksheet</t>
  </si>
  <si>
    <t>a</t>
  </si>
  <si>
    <t>b</t>
  </si>
  <si>
    <t>c</t>
  </si>
  <si>
    <t>d</t>
  </si>
  <si>
    <t>e</t>
  </si>
  <si>
    <t>f</t>
  </si>
  <si>
    <t>Design</t>
  </si>
  <si>
    <t>g</t>
  </si>
  <si>
    <t>Project Management</t>
  </si>
  <si>
    <t>l</t>
  </si>
  <si>
    <t>n</t>
  </si>
  <si>
    <t>q</t>
  </si>
  <si>
    <t>o</t>
  </si>
  <si>
    <t>Sum (f to l)</t>
  </si>
  <si>
    <t>Sum
(e+m+n-q)</t>
  </si>
  <si>
    <t>Sum 
(a+b+c+d)</t>
  </si>
  <si>
    <t>Total Implementation Price</t>
  </si>
  <si>
    <t>SCHEDULE #2b</t>
  </si>
  <si>
    <t>SCHEDULE #2a</t>
  </si>
  <si>
    <t>Price/Cost</t>
  </si>
  <si>
    <t>Errors/Warnings</t>
  </si>
  <si>
    <t>SCHEDULE #3</t>
  </si>
  <si>
    <t>Implementation Price</t>
  </si>
  <si>
    <t>M&amp;V Equipment Installed During Construction</t>
  </si>
  <si>
    <t>Self-Performed Work</t>
  </si>
  <si>
    <t xml:space="preserve">A fixed-price bid received in response to a Request for Proposals issued by an ESCO for a specific scope of work, exclusive of the cost to install M&amp;V equipment. </t>
  </si>
  <si>
    <t xml:space="preserve">A fixed price cost for a specific scope of work performed by an ESCO.  </t>
  </si>
  <si>
    <t>Description</t>
  </si>
  <si>
    <t>Cost Item</t>
  </si>
  <si>
    <t xml:space="preserve">All ESCOs are required to bond the performance and payment of all work by a reputable surety approved for such work.  The cost of the performance and payment bond shall be included in this category for the anticipated amount of work to be completed.  </t>
  </si>
  <si>
    <t>(5)  ECM coverage (%) represents the percentage share of the total project floor area (see Summary Schedule) affected by the ECM.</t>
  </si>
  <si>
    <t>Commissioning and Training</t>
  </si>
  <si>
    <t>Measurement and Verification</t>
  </si>
  <si>
    <t>(4) If applicable, prior to the performance period, implementation period energy savings and payments are one-time amounts only.</t>
  </si>
  <si>
    <t>(5) If applicable, the guaranteed cost savings during the implementation and performance periods must exceed the payments.</t>
  </si>
  <si>
    <t xml:space="preserve">(6) Escalation rates (see Annual Escalation Rates) apply to the estimated annual cost savings in column (d). </t>
  </si>
  <si>
    <t>(2) Examples of "Performance Period Incentives and Other Payments" include: RECs proceeds, demand response payments, and extra customer payments.  Incentives and payments are assumed to occur at the same time (beginning or end of period) that was identified in the "Summary Schedule."</t>
  </si>
  <si>
    <t>Total Implementation Price (from Schedule-2a Total)</t>
  </si>
  <si>
    <t>PLUS Financing Procurement Price-capitalized construction period interest ($)*</t>
  </si>
  <si>
    <t>PLUS Financing Procurement Price-other expenses ($)*</t>
  </si>
  <si>
    <t>(1) Any Implementation Period payment will be applied to reduce the principal repayment.</t>
  </si>
  <si>
    <t>(3) Future payments to project facilitators (consultants) are one example of uses for dollar savings retained by the customer.</t>
  </si>
  <si>
    <t>(1) These schedules should not be altered or changed in any way except to add notes (see below).  Please consult ePB documentation for assistance with completing these schedules, terminology, etc.</t>
  </si>
  <si>
    <t>f = 0.003412*b1+d1+e1a+e1b</t>
  </si>
  <si>
    <t>Advanced Metering Systems</t>
  </si>
  <si>
    <t xml:space="preserve">Commissioning </t>
  </si>
  <si>
    <t>Energy Cost Reduction Through Rate Adjustments</t>
  </si>
  <si>
    <t>Future/Other ECMs</t>
  </si>
  <si>
    <t xml:space="preserve">(3) End of the year annual cancellation ceiling costs should be shown in month 12 (column N). </t>
  </si>
  <si>
    <t>(4) In the event of TO cancellation, specify the cancellation ceiling as a percentage of remaining principal balance in "Additional Notes" below.</t>
  </si>
  <si>
    <t>Bonded Amount</t>
  </si>
  <si>
    <t>(3)  Contractor shall attach adequate supporting information detailing total implementation price.</t>
  </si>
  <si>
    <t>Subcontractor Costs (Contractor Costs To ESCO) exclusive of M&amp;V equipment</t>
  </si>
  <si>
    <t>Percent of Cost of Goods and Services (Base Construction)</t>
  </si>
  <si>
    <t>The cost of equipment installed during construction which is integral to performance of M&amp;V activities in the performance period.</t>
  </si>
  <si>
    <t>In some cases the ESCO may purchase equipment directly to be installed under scopes of work as described in items (a) and (c) above.  This amount (d) represents the purchase price of all such equipment.</t>
  </si>
  <si>
    <t>Cost of Goods and Services (Base Construction)</t>
  </si>
  <si>
    <t xml:space="preserve">Design costs include all professional architecture and engineering costs required to design and specify projects to be installed as part of the work, appropriately burdended for overhead and profit as determined by the ESCO. </t>
  </si>
  <si>
    <t>The cost of administering and managing the project, appropriately burdened for overhead and profit as determined by the ESCO.</t>
  </si>
  <si>
    <t>Performance and Payment Bonds</t>
  </si>
  <si>
    <t>At the completion of construction, equipment is commissioned.  This work is normally completed by commissioning agents.  If this scope is completed by ESCO employees, it includes the the appropriately  burdened cost (profit &amp; overhead) as determined by the ESCO.  If this scope is outsourced to a commissioning firm, this cost includes the turnkey cost to provide necessary commissioning services.
Training costs may be provided by subcontractors and as such will be included in their subcontractor bid.  However, if the ESCO plans to provide training, the burdened labor cost for such training shall be included in this line item.  In addition to labor, this line item may include formal classroom training, training videos, online training programs, and other training efforts that include labor and materials required to provide necessary training.  This line item cannot not be a repeat of training provided directly by subcontractors in subcontractor costs.  Training labor may be utilized to supervise and coordinate subcontractor training sessions.</t>
  </si>
  <si>
    <t xml:space="preserve">At the completion of construction, the ESCO completes the M&amp;V of installed equipment to verify post-retrofit energy and water efficiency, operation, and prepares a Post-Installation M&amp;V report.  This effort is necessary to ensure systems will meet the guaranteed energy savings and start the M&amp;V Services phase.  If completed by ESCO staff, this cost shall be appropriately burdened (overhead and profit) as determined by the ESCO.  If completed by an external M&amp;V firm, this cost includes the turnkey cost to provide necessary M&amp;V services.  </t>
  </si>
  <si>
    <t>Overhead Percent</t>
  </si>
  <si>
    <t>Profit Percent</t>
  </si>
  <si>
    <t>The indirect costs or fixed expenses of operating the ESCO’s business, applied to the Cost of Goods and Service.</t>
  </si>
  <si>
    <t xml:space="preserve">The anticipated, but not guaranteed, gross profit associated with the project, applied to the Cost of Goods and Service. </t>
  </si>
  <si>
    <t xml:space="preserve">(1) The Implementation delivery percentage shall not exceed the maximum delivery percentage, if applicable. </t>
  </si>
  <si>
    <t>TOTAL Performance Period Price (b)</t>
  </si>
  <si>
    <t>Other Direct Purchases Of Equipment, Material, Supplies (Supplier Costs To ESCO)  exclusive of M&amp;V equipment</t>
  </si>
  <si>
    <t>PDC + [a+b] - c</t>
  </si>
  <si>
    <t>Implementation Delivery Percentage/Charge</t>
  </si>
  <si>
    <t>Schedule 2a Costs</t>
  </si>
  <si>
    <t>(2) The guaranteed annual cost savings are pursuant to the description in the M&amp;V plan proposed for the project.</t>
  </si>
  <si>
    <t>(4)  For the following ECMs, enter under ECM Size the total installed capacity of new equipment in the units specified; chillers and packaged units in tons (e.g., for a chiller - 250 tons), VFDs in hp, boilers and furnaces in input Btu/hr, BAS/EMCS in number of points, transformers in kVA, generators in kW.  For lighting ECMs, specify baseline kW treated.</t>
  </si>
  <si>
    <t>(3) User should enter an average monthly kW reduction figure. Demand savings can (and usually do) vary by season and in their conversion rate to dollar savings.</t>
  </si>
  <si>
    <t>Other PP Expense 1: Other</t>
  </si>
  <si>
    <t>Other PP Expense 2: Other</t>
  </si>
  <si>
    <t>Implementation Price PDP + [a+b] - c</t>
  </si>
  <si>
    <t>Project Development Price (PDP)-Technical Energy Audit and Project Proposal</t>
  </si>
  <si>
    <t>Heating, Ventilating, and Air Conditioning</t>
  </si>
  <si>
    <t xml:space="preserve">Performance Period (years) </t>
  </si>
  <si>
    <t xml:space="preserve">Start date of Performance Period (mm/dd/yyyy)  </t>
  </si>
  <si>
    <t>M&amp;V</t>
  </si>
  <si>
    <t>RCx</t>
  </si>
  <si>
    <t>O&amp;M and RCx</t>
  </si>
  <si>
    <t>Other</t>
  </si>
  <si>
    <t>Option A</t>
  </si>
  <si>
    <t>Option B</t>
  </si>
  <si>
    <t>Option C</t>
  </si>
  <si>
    <t>Option D</t>
  </si>
  <si>
    <t>Unknown</t>
  </si>
  <si>
    <t>SCHEDULE #1(u)- UESC</t>
  </si>
  <si>
    <t>(3) If applicable, the contractor shall propose "Bonded Amount" representing the basis of establishing performance and payment bonds.</t>
  </si>
  <si>
    <t>1. Project Contact Information</t>
  </si>
  <si>
    <t>2. Project Identification &amp; Characteristics</t>
  </si>
  <si>
    <t>3. Project Costs and Financials</t>
  </si>
  <si>
    <t>4. Project Capitalization</t>
  </si>
  <si>
    <t>5. Other</t>
  </si>
  <si>
    <t>Annual Escalation Rates</t>
  </si>
  <si>
    <r>
      <t>2.</t>
    </r>
    <r>
      <rPr>
        <sz val="7"/>
        <color rgb="FF000000"/>
        <rFont val="Century Gothic"/>
        <family val="1"/>
      </rPr>
      <t xml:space="preserve">     </t>
    </r>
    <r>
      <rPr>
        <sz val="12"/>
        <color rgb="FF000000"/>
        <rFont val="Century Gothic"/>
        <family val="1"/>
      </rPr>
      <t xml:space="preserve">Performance Period Expenses: The post-acceptance performance period section pertains to the total expenses associated with the services the contractor supplies to manage the project, maintain and verify ECM performance during the post-acceptance performance period, and any other applicable expenses. </t>
    </r>
  </si>
  <si>
    <t>Sch1-Ann Cost Sav &amp; Pymts</t>
  </si>
  <si>
    <t>Sch1u-Ann Cost Sav &amp; Pymts-UESC</t>
  </si>
  <si>
    <t>Sch2a-Imp Price by ECM</t>
  </si>
  <si>
    <t>Sch3-Perf Period Cash Flow</t>
  </si>
  <si>
    <t>Sheet</t>
  </si>
  <si>
    <t>Project Type</t>
  </si>
  <si>
    <t>All</t>
  </si>
  <si>
    <t>(4) Prior to award, the stated interest rate is considered preliminary and subject to change.  The final interest rate will be based on market conditions at the time of award.  The rate will be locked at time of award and will be fixed through the performance period.</t>
  </si>
  <si>
    <t>(2) The total of annual payments represents the contract price and should be supported by information submitted.</t>
  </si>
  <si>
    <t>(3) If applicable, prior to the performance period, implementation period energy savings and payments are one-time amounts only.</t>
  </si>
  <si>
    <t xml:space="preserve">(4) Escalation rates (see Annual Escalation Rates) apply to the estimated annual cost savings in column (d). </t>
  </si>
  <si>
    <t>Quarterly Payment Type</t>
  </si>
  <si>
    <t>Biannual Payment Type</t>
  </si>
  <si>
    <r>
      <rPr>
        <b/>
        <sz val="12"/>
        <rFont val="Century Gothic"/>
        <family val="2"/>
      </rPr>
      <t>IMPORTANT INFORMATION</t>
    </r>
    <r>
      <rPr>
        <sz val="12"/>
        <rFont val="Century Gothic"/>
        <family val="2"/>
      </rPr>
      <t>: See the ePB Data Template User Guide on the</t>
    </r>
    <r>
      <rPr>
        <u/>
        <sz val="12"/>
        <color theme="10"/>
        <rFont val="Century Gothic"/>
        <family val="2"/>
      </rPr>
      <t xml:space="preserve"> Help &amp; Documentation Page</t>
    </r>
    <r>
      <rPr>
        <sz val="12"/>
        <rFont val="Century Gothic"/>
        <family val="2"/>
      </rPr>
      <t xml:space="preserve"> for additional information on completing the data template.</t>
    </r>
  </si>
  <si>
    <t>Summary Schedule</t>
  </si>
  <si>
    <t>Sch2b-Project Imp Pricing</t>
  </si>
  <si>
    <t>Sch4-Cost Savings by ECM</t>
  </si>
  <si>
    <t>Sch5-Cancellation Ceilings</t>
  </si>
  <si>
    <t>Federal projects only</t>
  </si>
  <si>
    <t>The Summary Schedule is intended to capture high-level information about the overall project. The information on the Summary sheet is divided into 5 broad categories:</t>
  </si>
  <si>
    <t>(1) Implementation period savings can represent two things: a) construction period savings (where savings from some ECMs start accruing before construction is complete on the greater project), and b) customer buydown amounts.  Customer buydowns are counted as savings because they constitute offsets to capital expenses in the project.  Implementation period savings should not include up-front project incentives (e.g., equipment rebates) because those are entered in Schedule 2a.</t>
  </si>
  <si>
    <t>(1) Implementation period savings (both estimated and guaranteed) can represent two things: a) construction period savings (where savings from some ECMs start accruing before construction is complete on the greater project), and b) customer buydown amounts.  Customer buydowns are counted as savings because they constitute offsets to capital expenses in the project.  Implementation period savings should not include up-front project incentives (e.g., equipment rebates) because those are entered in Schedule 2a.</t>
  </si>
  <si>
    <t>Other Non-Energy Savings</t>
  </si>
  <si>
    <t>Agreement Type</t>
  </si>
  <si>
    <t>Select "UESC" on Summary Schedule C4</t>
  </si>
  <si>
    <t>Annual Escalation Rates are intended to capture the rates that are used to calculate the year-over-year energy savings for each of the different savings streams - both utility and non-utility. The first year savings reported on Sch4-Cost Savings by ECM will be escalated using the appropriate escalation rates to calculate Estimated Annual Cost Savings for subsequent years.</t>
  </si>
  <si>
    <t xml:space="preserve">This schedule presents the total implementation cost for each of the ECMs included in the project. It includes fields to characterize the ECM: technology category, number and description. It also includes other fields intended to capture the size and scope of the measure. </t>
  </si>
  <si>
    <t>Schedule 2b is optional for all users except those under the 2017 FEMP IDIQ contract. Schedule 2b itemizes project-level pricing, which is broken down into two major categories: (1) Cost of Goods &amp; Services, and (2) Implementation Delivery Percentage/Charge.</t>
  </si>
  <si>
    <t>This schedule presents the project's overall proposed cash flow. This schedule is divided into two sections:</t>
  </si>
  <si>
    <r>
      <t>1.</t>
    </r>
    <r>
      <rPr>
        <sz val="7"/>
        <color rgb="FF000000"/>
        <rFont val="Century Gothic"/>
        <family val="1"/>
      </rPr>
      <t xml:space="preserve">     </t>
    </r>
    <r>
      <rPr>
        <sz val="12"/>
        <color rgb="FF000000"/>
        <rFont val="Century Gothic"/>
        <family val="1"/>
      </rPr>
      <t>Debt Service/Performance Period Payments: The total implementation price less any one-time savings and/or ECM cost savings during the implementation period (Sch2a-Imp Price by ECM) is amortized based on the financing terms shown on Summary Sheet to calculate the overall debt service payment after excluding any financial or tax incentives or revenues, thereby reducing principal repayment or interest.</t>
    </r>
  </si>
  <si>
    <t xml:space="preserve">A summary of the proposed estimated first year cost savings that will be achieved following the installation of the ECMs included in the project. The annual cost savings shown for each ECM are broken down into energy, demand, water and non-energy cost savings. The energy baseline and savings shall be presented in the energy type consumed by the equipment and also converted to MMBTUs. </t>
  </si>
  <si>
    <t xml:space="preserve">A presentation of annual cancellation ceilings to establish the maximum termination liability in the event of contract cancellation or termination. </t>
  </si>
  <si>
    <t xml:space="preserve">Payment Timing* </t>
  </si>
  <si>
    <t>Project Award Date (mm/dd/yyyy)*</t>
  </si>
  <si>
    <t>The calculated estimated Annual Cost Savings for different years along with the related Annual Payment are shown on this schedule. The only user-entered fields on this schedule are Estimated Cost Savings and Payments for the implementation period. Only applicable for UESC projects.</t>
  </si>
  <si>
    <t xml:space="preserve">All except UESC </t>
  </si>
  <si>
    <t>All except UESC</t>
  </si>
  <si>
    <t>(2) At least one of the savings fields is required to compute the contract term.</t>
  </si>
  <si>
    <t xml:space="preserve">(4) All estimated cost savings numbers reported in this schedule are assumed to have already incorporated the "Implementation start through first year" escalation rates reported in the Annual Escalation Rates schedule.   </t>
  </si>
  <si>
    <t>Total Amount Financed (principal)</t>
  </si>
  <si>
    <t>(2) If selected, the contractor shall complete the installation of all proposed ECMs no later than the implementation period identified in the contract.</t>
  </si>
  <si>
    <t xml:space="preserve">BRIEF DESCRIPTION OF VARIOUS SCHEDULES </t>
  </si>
  <si>
    <t>The calculated Estimated Annual Cost Savings for each performance year along with the Guaranteed Annual Cost Savings and the related "Annual Payment" are shown on this schedule. The only user-entered fields on this schedule are Estimated Cost Savings, Guaranteed Cost Savings, and Payments for the implementation period.</t>
  </si>
  <si>
    <t>SCHEDULE #1(ee)-ESA &amp; ESPC</t>
  </si>
  <si>
    <t>(h)</t>
  </si>
  <si>
    <t>Total Annual Payments</t>
  </si>
  <si>
    <t>ESA Payments</t>
  </si>
  <si>
    <t>ESPC Payments</t>
  </si>
  <si>
    <t>(1) Implementation period savings (both estimated and guaranteed) can represent two things: 1) construction period savings (where savings from some ECMs start accruing before construction is complete on the greater project), and 2) customer buydown amounts.  Customer buydowns are counted as savings because they constitute offsets to capital expenses in the project.  Implementation period savings should not include up-front project incentives (e.g., equipment rebates) because those are entered in Schedule 2a.</t>
  </si>
  <si>
    <t>SCHEDULE #1(esa)-ESA</t>
  </si>
  <si>
    <t>ESA COSTS AND PAYMENTS</t>
  </si>
  <si>
    <t>Annual ESA
Price ($/kWh)</t>
  </si>
  <si>
    <t>Guaranteed Annual
Production (kWh)</t>
  </si>
  <si>
    <t>M&amp;V Expense ($)</t>
  </si>
  <si>
    <t>Sch1ee-Ann Cost Sav &amp; Pymts</t>
  </si>
  <si>
    <t>Sch1esa-ESA Pymts</t>
  </si>
  <si>
    <t>(f) = (g) + (h)</t>
  </si>
  <si>
    <t>The calculated Estimated Annual Cost Savings for each performance year along with the Guaranteed Annual Cost Savings and the related "Annual Payment" are shown on this schedule. The Total Annual Payments are broken out into ESA Payments and ESPC Payments. The only user-entered fields on this schedule are Estimated Cost Savings, Guaranteed Cost Savings, and Payments for the implementation period</t>
  </si>
  <si>
    <t>The ESA costs and payments are shown in this schedule. These include the annual ESA Price/rate and Guaranteed Annual Production. The ESA payments are broken out into "Escrow for FMV Purchase" and "Net ESA Payment to ESCO After Escrow. The only user-entered fields on this schedule are Year 1 ESA Price ($/kWh), Guarantee %, Energy Degradation and Escrow $/kWh.</t>
  </si>
  <si>
    <t>Estimated FMV at end of term</t>
  </si>
  <si>
    <t>(4) Interest ($) on row 8 of Schedule 3 reflects the interest payment amount on the remaining principal balance for each year of the financing term. Thus the interest amount declines as the remaining principal declines over the years of the financing term.</t>
  </si>
  <si>
    <t>Year 1 ESA Price ($/kWh)*</t>
  </si>
  <si>
    <t>Guarantee %*</t>
  </si>
  <si>
    <t>Energy Degradation*</t>
  </si>
  <si>
    <t>ESA Payment (a)*(b)
(Guaranteed)</t>
  </si>
  <si>
    <t>Reserve Account for Fair Market Value (FMV) Purchase</t>
  </si>
  <si>
    <t>1) The "year 1 ESA price ($/kWh)" represents a blended price, inclusive of both kWh and kW production, and thus may be higher than the customer's current kWh-only price.</t>
  </si>
  <si>
    <t>2) "Energy degradation" is the estimated percentage decrease in electrical output (kWh) per year.</t>
  </si>
  <si>
    <t>3) Electricity prices shown in column (a) are escalated per the escalation rates for "electric energy" shown in the Annual Escalation Rates schedule.</t>
  </si>
  <si>
    <t>4) The year 1 "guaranteed annual production (kWh)" in column (b) represents the "electric energy savings" from the renewable energy ECM, as shown on Schedule 4, Cost Savings by ECM.</t>
  </si>
  <si>
    <t>5) ESA payment shown in column (c) includes the reserve account amount shown in (d).</t>
  </si>
  <si>
    <t xml:space="preserve">Customer </t>
  </si>
  <si>
    <t>Performance Period Incentives and Other Revenues</t>
  </si>
  <si>
    <t>Select "ESA" on Summary Schedule C4</t>
  </si>
  <si>
    <t>Project Agreement Type                     (choose from list)*</t>
  </si>
  <si>
    <t>(7)  At least one ECM must be marked with a "Yes" in the "Energy Sales Agreement" column if you chose "ESA" as the Project Agreement Type on the Summary Schedule.  Note that any ECM marked with a "Yes" in this column will not have any of its figures included in the project-level cost and price totals (Costs of Goods and Services - Base Construction, Project Implementation Delivery Charge, Applied Incentives, Implementation Price).  The ECM-level figures entered on this schedule for an ESA ECM represent equivalent investment values, and are provided for the purposes of agency reporting only</t>
  </si>
  <si>
    <t>Applied Incentives ($)</t>
  </si>
  <si>
    <t>SCHEDULE #4g</t>
  </si>
  <si>
    <t>kg CO2e/Mmbtu</t>
  </si>
  <si>
    <t>Electric GHG</t>
  </si>
  <si>
    <t>kg CO2e/MMBtu</t>
  </si>
  <si>
    <t>Natural gas GHG</t>
  </si>
  <si>
    <t>kg CO2e</t>
  </si>
  <si>
    <t>ASCC Alaska Grid</t>
  </si>
  <si>
    <t>ASCC Miscellaneous</t>
  </si>
  <si>
    <t>Select Region</t>
  </si>
  <si>
    <t>(1) Energy conversion factors for MMBtu:  MMBtu=1,000,000 Btu; 1 kWh of Electricity = 0.003412 MMBtu; 1 therm of Natural Gas = 0.1 MMBtu ; 1 gal of #2 Heating Oil = 0.138 MMBtu; 1 gal of Gasoline = 0.125 MMBtu; 1 gal of Diesel = 0.138 MMBtul; 1 short ton of Coal (2,000 pounds)=21.39 MMBtu; 1 gal of Propane=0.091 MMBtu.</t>
  </si>
  <si>
    <t>Unique Key HHV</t>
  </si>
  <si>
    <t>Scope</t>
  </si>
  <si>
    <t>Category</t>
  </si>
  <si>
    <t>Fuel Type</t>
  </si>
  <si>
    <t>Default high heat value</t>
  </si>
  <si>
    <t>HHV Units</t>
  </si>
  <si>
    <t>Default CO2 EF</t>
  </si>
  <si>
    <t>CO2 UOM</t>
  </si>
  <si>
    <t>Default CH4 EF</t>
  </si>
  <si>
    <t>CH4 UOM</t>
  </si>
  <si>
    <t>Default N2O EF</t>
  </si>
  <si>
    <t>N2O UOM</t>
  </si>
  <si>
    <t>Reference</t>
  </si>
  <si>
    <t>Reference URL</t>
  </si>
  <si>
    <t>Scope All</t>
  </si>
  <si>
    <t>Fuels</t>
  </si>
  <si>
    <t>Asphalt and road oil</t>
  </si>
  <si>
    <t>MMBtu/gallon</t>
  </si>
  <si>
    <t>kg CO2/MMBtu</t>
  </si>
  <si>
    <t>kg CH4/MMBtu</t>
  </si>
  <si>
    <t>kg N2O/MMBtu</t>
  </si>
  <si>
    <t>U.S. EPA Greenhouse Gas Reporting Program, Federal Register / Vol. 74, No. 209 / Friday, October 30, 2009 / Rules and Regulations, Table C-1 to Subpart C of Part 98 &amp; Table C-2 to Subpart C of Part 98.</t>
  </si>
  <si>
    <t>http://www.epa.gov/climateleadership/documents/emission-factors.pdf</t>
  </si>
  <si>
    <t>Aviation gasoline</t>
  </si>
  <si>
    <t>Biodiesel - B100</t>
  </si>
  <si>
    <t>http://www.epa.gov/ghgreporting/documents/pdf/2009/GHG-MRR-FinalRule.pdf</t>
  </si>
  <si>
    <t>Biogas - captured methane</t>
  </si>
  <si>
    <t>MMBtu/scf</t>
  </si>
  <si>
    <t>Biogas - LandGEM</t>
  </si>
  <si>
    <t>MMBtu/MT CH4</t>
  </si>
  <si>
    <t>MT CO2/MMBtu</t>
  </si>
  <si>
    <t>MT CH4/MMBtu</t>
  </si>
  <si>
    <t>MT N2O/MMBtu</t>
  </si>
  <si>
    <t>U.S. EPA Greenhouse Gas Reporting Program, Federal Register / Vol. 74, No. 209 / Friday, October 30, 2009 / Rules and Regulations, Table C-1 to Subpart C of Part 98 &amp; Table C-2 to Subpart C of Part 98. &amp; U.S. EPA Climate Leaders, Offset Project Methodology for Project Type: Landfill Methane Collection and Combustion, August 2008.</t>
  </si>
  <si>
    <t>http://www.epa.gov/ghgreporting/documents/pdf/2009/GHG-MRR-FinalRule.pdf &amp; http://www.epa.gov/stateply/documents/resources/draft_landfill_offset_protocol.pdf</t>
  </si>
  <si>
    <t>Biogas - WWTP</t>
  </si>
  <si>
    <t>MMBtu/Kg CH4</t>
  </si>
  <si>
    <t>Biomass - Agricultural byproducts</t>
  </si>
  <si>
    <t>MMBtu/short ton</t>
  </si>
  <si>
    <t>Biomass - Peat</t>
  </si>
  <si>
    <t>Biomass - Solid byproducts</t>
  </si>
  <si>
    <t>Biomass - Wood and wood residuals</t>
  </si>
  <si>
    <t>Blast furnace gas - Fossil-derived</t>
  </si>
  <si>
    <t>Butane</t>
  </si>
  <si>
    <t>Butylene</t>
  </si>
  <si>
    <t>Coal - Anthracite</t>
  </si>
  <si>
    <t>Coal - Bituminous</t>
  </si>
  <si>
    <t>Coal - Coke</t>
  </si>
  <si>
    <t>Coal - Lignite</t>
  </si>
  <si>
    <t>Coal - Mixed (Commercial sector)</t>
  </si>
  <si>
    <t>Coal - Mixed (Electric Power sector)</t>
  </si>
  <si>
    <t>Coal - Mixed (Industrial coking)</t>
  </si>
  <si>
    <t>Coal - Mixed (Industrial sector)</t>
  </si>
  <si>
    <t>Coal - Subbituminous</t>
  </si>
  <si>
    <t>Coke oven gas - Fossil-derived</t>
  </si>
  <si>
    <t>Crude oil</t>
  </si>
  <si>
    <t>Distillate Fuel Oil No. 1</t>
  </si>
  <si>
    <t>Distillate Fuel Oil No. 2</t>
  </si>
  <si>
    <t>Distillate Fuel Oil No. 4</t>
  </si>
  <si>
    <t>Ethane</t>
  </si>
  <si>
    <t>Ethanol - E100</t>
  </si>
  <si>
    <t>Ethylene</t>
  </si>
  <si>
    <t>Heavy gas oils</t>
  </si>
  <si>
    <t>Isobutene</t>
  </si>
  <si>
    <t>Isobutylene</t>
  </si>
  <si>
    <t>Kerosene</t>
  </si>
  <si>
    <t>Kerosene-type jet fuel</t>
  </si>
  <si>
    <t>Liquefied petroleum gases (LPG)</t>
  </si>
  <si>
    <t>Lubricants</t>
  </si>
  <si>
    <t>Motor gasoline</t>
  </si>
  <si>
    <t>Municipal solid waste - Fossil-derived</t>
  </si>
  <si>
    <t>Naphtha - &lt;401 degrees F</t>
  </si>
  <si>
    <t>Natural gasoline</t>
  </si>
  <si>
    <t>Other oil (&gt;401 degrees F)</t>
  </si>
  <si>
    <t>Pentanes plus</t>
  </si>
  <si>
    <t>Petrochemical feedstocks</t>
  </si>
  <si>
    <t>Petroleum coke</t>
  </si>
  <si>
    <t>Propane</t>
  </si>
  <si>
    <t>Propylene</t>
  </si>
  <si>
    <t>Rendered animal fat</t>
  </si>
  <si>
    <t>Residual  Fuel Oil No. 6</t>
  </si>
  <si>
    <t>Residual Fuel Oil No. 5</t>
  </si>
  <si>
    <t>Special naphtha</t>
  </si>
  <si>
    <t>Still gas</t>
  </si>
  <si>
    <t>Tires - Fossil-derived</t>
  </si>
  <si>
    <t>Unfinished oils</t>
  </si>
  <si>
    <t>Vegetable oil</t>
  </si>
  <si>
    <t>Chilled Water</t>
  </si>
  <si>
    <t>Electric Driven Chiller, US National Average</t>
  </si>
  <si>
    <t>Purchased Steam</t>
  </si>
  <si>
    <t>Hot Water</t>
  </si>
  <si>
    <t>For Custom Fuel Types, enter EMFACs</t>
  </si>
  <si>
    <t>MMBtu/mmbtu</t>
  </si>
  <si>
    <t>eGRID subregion name</t>
  </si>
  <si>
    <t>eGRID subregion acronym</t>
  </si>
  <si>
    <t>Subregion annual CO2 output emission rate (lb/MWh)</t>
  </si>
  <si>
    <t>Subregion annual CH4 output emission rate (lb/MWh)</t>
  </si>
  <si>
    <t>Subregion annual N2O output emission rate (lb/MWh)</t>
  </si>
  <si>
    <t>Non-Baseload Combined Rate (kgs per mmbtu)</t>
  </si>
  <si>
    <t>AKGD</t>
  </si>
  <si>
    <t>CH4</t>
  </si>
  <si>
    <t>100 year GWP</t>
  </si>
  <si>
    <t>AKMS</t>
  </si>
  <si>
    <t>N20</t>
  </si>
  <si>
    <t>WECC Southwest</t>
  </si>
  <si>
    <t>AZNM</t>
  </si>
  <si>
    <t>lbs to kg</t>
  </si>
  <si>
    <t>WECC California</t>
  </si>
  <si>
    <t>CAMX</t>
  </si>
  <si>
    <t>btu to watts</t>
  </si>
  <si>
    <t>ERCOT All</t>
  </si>
  <si>
    <t>ERCT</t>
  </si>
  <si>
    <t>FRCC All</t>
  </si>
  <si>
    <t>FRCC</t>
  </si>
  <si>
    <t>HICC Miscellaneous</t>
  </si>
  <si>
    <t>HIMS</t>
  </si>
  <si>
    <t>HICC Oahu</t>
  </si>
  <si>
    <t>HIOA</t>
  </si>
  <si>
    <t>MRO East</t>
  </si>
  <si>
    <t>MROE</t>
  </si>
  <si>
    <t>MRO West</t>
  </si>
  <si>
    <t>MROW</t>
  </si>
  <si>
    <t>NPCC New England</t>
  </si>
  <si>
    <t>NEWE</t>
  </si>
  <si>
    <t>WECC Northwest</t>
  </si>
  <si>
    <t>NWPP</t>
  </si>
  <si>
    <t>NPCC NYC/Westchester</t>
  </si>
  <si>
    <t>NYCW</t>
  </si>
  <si>
    <t>NPCC Long Island</t>
  </si>
  <si>
    <t>NYLI</t>
  </si>
  <si>
    <t>NPCC Upstate NY</t>
  </si>
  <si>
    <t>NYUP</t>
  </si>
  <si>
    <t>Puerto Rico Miscellaneous</t>
  </si>
  <si>
    <t>PRMS</t>
  </si>
  <si>
    <t>RFC East</t>
  </si>
  <si>
    <t>RFCE</t>
  </si>
  <si>
    <t>RFC Michigan</t>
  </si>
  <si>
    <t>RFCM</t>
  </si>
  <si>
    <t>RFC West</t>
  </si>
  <si>
    <t>RFCW</t>
  </si>
  <si>
    <t>WECC Rockies</t>
  </si>
  <si>
    <t>RMPA</t>
  </si>
  <si>
    <t>SPP North</t>
  </si>
  <si>
    <t>SPNO</t>
  </si>
  <si>
    <t>SPP South</t>
  </si>
  <si>
    <t>SPSO</t>
  </si>
  <si>
    <t>SERC Mississippi Valley</t>
  </si>
  <si>
    <t>SRMV</t>
  </si>
  <si>
    <t>SERC Midwest</t>
  </si>
  <si>
    <t>SRMW</t>
  </si>
  <si>
    <t>SERC South</t>
  </si>
  <si>
    <t>SRSO</t>
  </si>
  <si>
    <t>SERC Tennessee Valley</t>
  </si>
  <si>
    <t>SRTV</t>
  </si>
  <si>
    <t>SERC Virginia/Carolina</t>
  </si>
  <si>
    <t>SRVC</t>
  </si>
  <si>
    <t>U.S. Default</t>
  </si>
  <si>
    <t>U.S.</t>
  </si>
  <si>
    <t>Master Non-Baseload Egrid Factors, eGRID 2021, (2019) Data, Table 1 Summary Tables</t>
  </si>
  <si>
    <t>Sch4g-GHG</t>
  </si>
  <si>
    <t>A summary of the proposed estimated first year GHG reductions (Scope 1 and Scope 2) that will be achieved following the installation of the ECMs included in the project. These reductions are based on the energy savings entered on Sch4-Cost Savings by ECM and EPA’s Emission Factors for GHG Inventories</t>
  </si>
  <si>
    <t>https://www.epa.gov/system/files/documents/2022-04/ghg_emission_factors_hub.pdf</t>
  </si>
  <si>
    <t>Federal M&amp;V Version</t>
  </si>
  <si>
    <t>Location/Facility ID</t>
  </si>
  <si>
    <t>Building Automation Systems/Energy Management Control Systems</t>
  </si>
  <si>
    <t>Annual Scope 1 CO2e Reductions</t>
  </si>
  <si>
    <t>Annual Scope 2 CO2e Reductions</t>
  </si>
  <si>
    <t>Annual Total CO2e Reductions</t>
  </si>
  <si>
    <t>(5) Assuming "Chilled Water” is “Purchased Chilled Water" that's generated from electric chiller</t>
  </si>
  <si>
    <t>(6) Assuming "Purchased Steam" is generated from a natural gas boiler with an efficiency of 80%, steam production efficiency of 75% with 10% distribution loses</t>
  </si>
  <si>
    <t>FEMP 4.0</t>
  </si>
  <si>
    <t>Loan (ESCO)</t>
  </si>
  <si>
    <t>No</t>
  </si>
  <si>
    <t/>
  </si>
  <si>
    <t>11A</t>
  </si>
  <si>
    <t>"Electric Energy" column is reserved for ESA ECMs due to limitation of ePB calculating template. The ESA payments have a different escalation rate than Electricity because its contains a combination of electricity, gas, and water savings
"Other Savings Type 1" is used for electricity saving for ESPC ECMs
"Other Savings Type 2" is water savings (kgal) for ESA, shown here just for clarity. ESA water savings were put in this column since these payments are already accounted for in ESA payment schedule. If they were put in the "water savings" column of this sheet, they would be double counted by the ePB calculating template
Table 2.1 and Table 2.2 in AFFECT Application</t>
  </si>
  <si>
    <t>Guaranteed Savings</t>
  </si>
  <si>
    <t>Subregion annual CO2e output emission rate (kg/MMBtu)</t>
  </si>
  <si>
    <t>eGrid State Region</t>
  </si>
  <si>
    <t>6) The reserve account (column d) is maintained by the ESCO on behalf of the customer. The reserve account is funded for the purpose of facilitating the fair market value (FMV) title transfer of the project's renewable asset by the government at the conclusion of the term.</t>
  </si>
  <si>
    <t>FIRST YEAR ESTIMATED GHG EMISSIONS REDUCTIONS BY ENERGY CONSERVATION MEASURE</t>
  </si>
  <si>
    <t>4.1.5.c</t>
  </si>
  <si>
    <t>04232024</t>
  </si>
  <si>
    <t>1A</t>
  </si>
  <si>
    <t>14,400 MMBtu</t>
  </si>
  <si>
    <t>See Table 6, PA</t>
  </si>
  <si>
    <t>3A</t>
  </si>
  <si>
    <t xml:space="preserve">Controls </t>
  </si>
  <si>
    <t>3400 points</t>
  </si>
  <si>
    <t>5A</t>
  </si>
  <si>
    <t>Lighting Upgrade</t>
  </si>
  <si>
    <t>5,793 Fixtures</t>
  </si>
  <si>
    <t>6A</t>
  </si>
  <si>
    <t>Upgrade Building Envelope</t>
  </si>
  <si>
    <t>215 Windows</t>
  </si>
  <si>
    <t>Renewable Energy, BESS, EVSE</t>
  </si>
  <si>
    <t>1000 kW</t>
  </si>
  <si>
    <t>13A</t>
  </si>
  <si>
    <t>Water Improvements</t>
  </si>
  <si>
    <t>400 fixtures</t>
  </si>
  <si>
    <t>PF LLC</t>
  </si>
  <si>
    <t>US Department of Energy</t>
  </si>
  <si>
    <t>ABC Corp</t>
  </si>
  <si>
    <t>Federal Project Executive</t>
  </si>
  <si>
    <t>123 Finance</t>
  </si>
  <si>
    <t>Grant</t>
  </si>
  <si>
    <t>End</t>
  </si>
  <si>
    <t>Annual</t>
  </si>
  <si>
    <t>#892434-23D-EE0000XX</t>
  </si>
  <si>
    <t>Jones Laboratory</t>
  </si>
  <si>
    <t>10-year, 30-year treasury.  Calculated baesd on average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</si>
</sst>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0.00_)"/>
    <numFmt numFmtId="167" formatCode="[$$-409]#,##0_);\([$$-409]#,##0\)"/>
    <numFmt numFmtId="168" formatCode="0.0%"/>
    <numFmt numFmtId="169" formatCode="_(* #,##0_);_(* \(#,##0\);_(* &quot;-&quot;??_);_(@_)"/>
    <numFmt numFmtId="170" formatCode="0.000%"/>
    <numFmt numFmtId="171" formatCode="#,##0.0000000_);\(#,##0.0000000\)"/>
    <numFmt numFmtId="172" formatCode="&quot;$&quot;#,##0.00"/>
    <numFmt numFmtId="173" formatCode="[&lt;=9999999]###\-####;\(###\)\ ###\-####"/>
    <numFmt numFmtId="174" formatCode="m/d/yyyy;@"/>
    <numFmt numFmtId="175" formatCode="0.0000%"/>
    <numFmt numFmtId="176" formatCode="00000"/>
    <numFmt numFmtId="177" formatCode="&quot;$&quot;#,##0.00000"/>
    <numFmt numFmtId="178" formatCode="0.000"/>
    <numFmt numFmtId="179" formatCode="#,##0.00000"/>
    <numFmt numFmtId="180" formatCode="_(* #,##0.0_);_(* \(#,##0.0\);_(* &quot;-&quot;??_);_(@_)"/>
    <numFmt numFmtId="181" formatCode="#,##0.0"/>
    <numFmt numFmtId="182" formatCode="#,##0.000"/>
  </numFmts>
  <fonts count="9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Arial"/>
      <family val="2"/>
    </font>
    <font>
      <sz val="8"/>
      <name val="Arial"/>
      <family val="2"/>
    </font>
    <font>
      <b/>
      <i/>
      <sz val="16"/>
      <name val="Helvetica"/>
      <family val="2"/>
    </font>
    <font>
      <sz val="10"/>
      <name val="Arial"/>
      <family val="2"/>
    </font>
    <font>
      <sz val="10"/>
      <name val="Century Gothic"/>
      <family val="2"/>
    </font>
    <font>
      <b/>
      <sz val="8"/>
      <name val="Century Gothic"/>
      <family val="2"/>
    </font>
    <font>
      <b/>
      <i/>
      <sz val="16"/>
      <color theme="1"/>
      <name val="Century Gothic"/>
      <family val="2"/>
    </font>
    <font>
      <sz val="12"/>
      <color theme="1"/>
      <name val="Century Gothic"/>
      <family val="2"/>
    </font>
    <font>
      <sz val="9"/>
      <color theme="1"/>
      <name val="Century Gothic"/>
      <family val="2"/>
    </font>
    <font>
      <b/>
      <sz val="12"/>
      <color theme="1"/>
      <name val="Century Gothic"/>
      <family val="2"/>
    </font>
    <font>
      <b/>
      <sz val="12"/>
      <name val="Century Gothic"/>
      <family val="2"/>
    </font>
    <font>
      <b/>
      <i/>
      <sz val="16"/>
      <color rgb="FF000000"/>
      <name val="Century Gothic"/>
      <family val="2"/>
    </font>
    <font>
      <b/>
      <sz val="11"/>
      <color rgb="FF000000"/>
      <name val="Century Gothic"/>
      <family val="2"/>
    </font>
    <font>
      <b/>
      <sz val="11"/>
      <name val="Century Gothic"/>
      <family val="2"/>
    </font>
    <font>
      <sz val="11"/>
      <name val="Century Gothic"/>
      <family val="2"/>
    </font>
    <font>
      <sz val="12"/>
      <name val="Century Gothic"/>
      <family val="2"/>
    </font>
    <font>
      <b/>
      <sz val="11"/>
      <color theme="1"/>
      <name val="Century Gothic"/>
      <family val="2"/>
    </font>
    <font>
      <sz val="11"/>
      <color theme="1"/>
      <name val="Century Gothic"/>
      <family val="2"/>
    </font>
    <font>
      <b/>
      <sz val="11"/>
      <color rgb="FF00B050"/>
      <name val="Century Gothic"/>
      <family val="2"/>
    </font>
    <font>
      <b/>
      <sz val="12"/>
      <color rgb="FF000000"/>
      <name val="Century Gothic"/>
      <family val="2"/>
    </font>
    <font>
      <sz val="10"/>
      <color rgb="FF000000"/>
      <name val="Century Gothic"/>
      <family val="2"/>
    </font>
    <font>
      <sz val="10"/>
      <color theme="1"/>
      <name val="Century Gothic"/>
      <family val="2"/>
    </font>
    <font>
      <b/>
      <i/>
      <sz val="16"/>
      <name val="Century Gothic"/>
      <family val="2"/>
    </font>
    <font>
      <b/>
      <i/>
      <sz val="11"/>
      <name val="Century Gothic"/>
      <family val="2"/>
    </font>
    <font>
      <i/>
      <sz val="11"/>
      <name val="Century Gothic"/>
      <family val="2"/>
    </font>
    <font>
      <b/>
      <sz val="10"/>
      <name val="Century Gothic"/>
      <family val="2"/>
    </font>
    <font>
      <b/>
      <sz val="12"/>
      <color rgb="FF00B050"/>
      <name val="Century Gothic"/>
      <family val="2"/>
    </font>
    <font>
      <b/>
      <i/>
      <sz val="14"/>
      <name val="Century Gothic"/>
      <family val="2"/>
    </font>
    <font>
      <b/>
      <i/>
      <sz val="12"/>
      <name val="Century Gothic"/>
      <family val="2"/>
    </font>
    <font>
      <b/>
      <sz val="16"/>
      <name val="Century Gothic"/>
      <family val="2"/>
    </font>
    <font>
      <b/>
      <sz val="18"/>
      <name val="Century Gothic"/>
      <family val="2"/>
    </font>
    <font>
      <sz val="10"/>
      <color rgb="FFFF0000"/>
      <name val="Century Gothic"/>
      <family val="2"/>
    </font>
    <font>
      <b/>
      <sz val="9"/>
      <name val="Times New Roman"/>
      <family val="1"/>
    </font>
    <font>
      <sz val="11"/>
      <color rgb="FF000000"/>
      <name val="Century Gothic"/>
      <family val="2"/>
    </font>
    <font>
      <sz val="16"/>
      <color rgb="FF3E3E3E"/>
      <name val="Courier New"/>
      <family val="3"/>
    </font>
    <font>
      <sz val="9"/>
      <name val="Geneva"/>
      <family val="2"/>
    </font>
    <font>
      <sz val="11"/>
      <name val="Times New Roman"/>
      <family val="1"/>
    </font>
    <font>
      <sz val="13"/>
      <color rgb="FF444444"/>
      <name val="Lucida Grande"/>
      <family val="2"/>
    </font>
    <font>
      <b/>
      <sz val="11"/>
      <name val="Times New Roman"/>
      <family val="1"/>
    </font>
    <font>
      <sz val="12"/>
      <color indexed="8"/>
      <name val="Times New Roman"/>
      <family val="1"/>
    </font>
    <font>
      <b/>
      <sz val="11"/>
      <color rgb="FFFF0000"/>
      <name val="Century Gothic"/>
      <family val="2"/>
    </font>
    <font>
      <sz val="12"/>
      <color theme="0"/>
      <name val="Century Gothic"/>
      <family val="2"/>
    </font>
    <font>
      <b/>
      <sz val="12"/>
      <color theme="1"/>
      <name val="Calibri"/>
      <family val="2"/>
      <scheme val="minor"/>
    </font>
    <font>
      <sz val="12"/>
      <name val="Calibri"/>
      <family val="2"/>
      <scheme val="minor"/>
    </font>
    <font>
      <b/>
      <i/>
      <sz val="10"/>
      <color rgb="FFFF0000"/>
      <name val="Century Gothic"/>
      <family val="2"/>
    </font>
    <font>
      <sz val="11"/>
      <color theme="1"/>
      <name val="Calibri"/>
      <family val="2"/>
      <scheme val="minor"/>
    </font>
    <font>
      <sz val="8"/>
      <color rgb="FF000000"/>
      <name val="Century Gothic"/>
      <family val="1"/>
    </font>
    <font>
      <sz val="12"/>
      <color rgb="FF000000"/>
      <name val="Century Gothic"/>
      <family val="2"/>
    </font>
    <font>
      <sz val="10"/>
      <color theme="1"/>
      <name val="Calibri"/>
      <family val="2"/>
      <scheme val="minor"/>
    </font>
    <font>
      <sz val="8"/>
      <name val="Century Gothic"/>
      <family val="1"/>
    </font>
    <font>
      <sz val="10"/>
      <name val="Calibri"/>
      <family val="2"/>
      <scheme val="minor"/>
    </font>
    <font>
      <sz val="8"/>
      <name val="Century Gothic"/>
      <family val="2"/>
    </font>
    <font>
      <b/>
      <sz val="14"/>
      <color rgb="FFFF0000"/>
      <name val="Century Gothic"/>
      <family val="2"/>
    </font>
    <font>
      <sz val="11"/>
      <color rgb="FFFF0000"/>
      <name val="Century Gothic"/>
      <family val="1"/>
    </font>
    <font>
      <b/>
      <i/>
      <sz val="8"/>
      <color rgb="FFFF0000"/>
      <name val="Century Gothic"/>
      <family val="1"/>
    </font>
    <font>
      <i/>
      <sz val="11"/>
      <color rgb="FFFF0000"/>
      <name val="Century Gothic"/>
      <family val="1"/>
    </font>
    <font>
      <sz val="12"/>
      <color rgb="FF000000"/>
      <name val="Calibri"/>
      <family val="2"/>
      <scheme val="minor"/>
    </font>
    <font>
      <sz val="11"/>
      <color theme="1"/>
      <name val="Arial Narrow"/>
      <family val="2"/>
    </font>
    <font>
      <sz val="11"/>
      <name val="Century Gothic"/>
      <family val="1"/>
    </font>
    <font>
      <sz val="12"/>
      <color theme="1"/>
      <name val="Century Gothic"/>
      <family val="1"/>
    </font>
    <font>
      <sz val="12"/>
      <color rgb="FF000000"/>
      <name val="Century Gothic"/>
      <family val="1"/>
    </font>
    <font>
      <sz val="7"/>
      <color rgb="FF000000"/>
      <name val="Century Gothic"/>
      <family val="1"/>
    </font>
    <font>
      <b/>
      <sz val="12"/>
      <color theme="1"/>
      <name val="Century Gothic"/>
      <family val="1"/>
    </font>
    <font>
      <b/>
      <sz val="12"/>
      <color rgb="FF000000"/>
      <name val="Century Gothic"/>
      <family val="1"/>
    </font>
    <font>
      <sz val="12"/>
      <color rgb="FFFF0000"/>
      <name val="Calibri"/>
      <family val="2"/>
      <scheme val="minor"/>
    </font>
    <font>
      <u/>
      <sz val="12"/>
      <color theme="10"/>
      <name val="Century Gothic"/>
      <family val="2"/>
    </font>
    <font>
      <b/>
      <sz val="11"/>
      <color rgb="FFFF0000"/>
      <name val="Century Gothic"/>
      <family val="1"/>
    </font>
    <font>
      <b/>
      <i/>
      <sz val="10"/>
      <name val="Century Gothic"/>
      <family val="2"/>
    </font>
    <font>
      <i/>
      <sz val="12"/>
      <color rgb="FF7F7F7F"/>
      <name val="Calibri"/>
      <family val="2"/>
      <scheme val="minor"/>
    </font>
    <font>
      <b/>
      <sz val="10"/>
      <name val="Arial"/>
      <family val="2"/>
    </font>
    <font>
      <sz val="11"/>
      <name val="Calibri"/>
      <family val="2"/>
    </font>
    <font>
      <sz val="10"/>
      <color theme="0"/>
      <name val="Arial"/>
      <family val="2"/>
    </font>
    <font>
      <sz val="10"/>
      <color theme="1"/>
      <name val="Arial"/>
      <family val="2"/>
    </font>
    <font>
      <sz val="8"/>
      <color indexed="81"/>
      <name val="Tahoma"/>
      <family val="2"/>
    </font>
    <font>
      <sz val="8"/>
      <color rgb="FF000000"/>
      <name val="Tahoma"/>
      <family val="2"/>
    </font>
    <font>
      <sz val="12"/>
      <color theme="0" tint="-0.249977111117893"/>
      <name val="Calibri"/>
      <family val="2"/>
      <scheme val="minor"/>
    </font>
    <font>
      <sz val="8.5"/>
      <color rgb="FF000000"/>
      <name val="Arial"/>
      <family val="2"/>
    </font>
    <font>
      <u/>
      <sz val="12"/>
      <name val="Calibri"/>
      <family val="2"/>
      <scheme val="minor"/>
    </font>
    <font>
      <sz val="11"/>
      <color theme="1"/>
      <name val="Century Gothic"/>
      <family val="1"/>
    </font>
    <font>
      <b/>
      <sz val="11"/>
      <name val="Century Gothic"/>
      <family val="1"/>
    </font>
    <font>
      <sz val="14"/>
      <color rgb="FF000000"/>
      <name val="Courier New"/>
      <family val="1"/>
    </font>
    <font>
      <sz val="10"/>
      <color rgb="FF0C0D0E"/>
      <name val="Var(--ff-mono)"/>
    </font>
    <font>
      <sz val="11"/>
      <name val="Arial"/>
      <family val="2"/>
    </font>
  </fonts>
  <fills count="21">
    <fill>
      <patternFill patternType="none"/>
    </fill>
    <fill>
      <patternFill patternType="gray125"/>
    </fill>
    <fill>
      <patternFill patternType="solid">
        <fgColor rgb="FFEAEAEA"/>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mediumGray">
        <bgColor auto="1"/>
      </patternFill>
    </fill>
    <fill>
      <patternFill patternType="mediumGray"/>
    </fill>
    <fill>
      <patternFill patternType="mediumGray">
        <bgColor theme="0"/>
      </patternFill>
    </fill>
    <fill>
      <patternFill patternType="solid">
        <fgColor rgb="FF00B050"/>
        <bgColor indexed="64"/>
      </patternFill>
    </fill>
    <fill>
      <patternFill patternType="solid">
        <fgColor rgb="FFBFBFBF"/>
        <bgColor rgb="FF000000"/>
      </patternFill>
    </fill>
    <fill>
      <patternFill patternType="solid">
        <fgColor theme="0" tint="-0.14996795556505021"/>
        <bgColor indexed="64"/>
      </patternFill>
    </fill>
    <fill>
      <patternFill patternType="solid">
        <fgColor rgb="FFFFFF00"/>
        <bgColor rgb="FF000000"/>
      </patternFill>
    </fill>
    <fill>
      <patternFill patternType="solid">
        <fgColor rgb="FFD9D9D9"/>
        <bgColor rgb="FF000000"/>
      </patternFill>
    </fill>
    <fill>
      <patternFill patternType="solid">
        <fgColor rgb="FFFF0000"/>
        <bgColor indexed="64"/>
      </patternFill>
    </fill>
    <fill>
      <patternFill patternType="solid">
        <fgColor indexed="65"/>
        <bgColor indexed="64"/>
      </patternFill>
    </fill>
    <fill>
      <patternFill patternType="mediumGray">
        <fgColor rgb="FF000000"/>
      </patternFill>
    </fill>
    <fill>
      <patternFill patternType="solid">
        <fgColor rgb="FFFF6600"/>
        <bgColor indexed="64"/>
      </patternFill>
    </fill>
    <fill>
      <patternFill patternType="mediumGray">
        <bgColor theme="0" tint="-0.14996795556505021"/>
      </patternFill>
    </fill>
  </fills>
  <borders count="9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rgb="FF000000"/>
      </right>
      <top style="medium">
        <color rgb="FF000000"/>
      </top>
      <bottom style="medium">
        <color auto="1"/>
      </bottom>
      <diagonal/>
    </border>
    <border>
      <left/>
      <right style="medium">
        <color auto="1"/>
      </right>
      <top style="medium">
        <color rgb="FF000000"/>
      </top>
      <bottom style="medium">
        <color rgb="FF000000"/>
      </bottom>
      <diagonal/>
    </border>
    <border>
      <left/>
      <right style="medium">
        <color auto="1"/>
      </right>
      <top style="medium">
        <color rgb="FF000000"/>
      </top>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style="medium">
        <color rgb="FF000000"/>
      </top>
      <bottom/>
      <diagonal/>
    </border>
    <border>
      <left style="medium">
        <color auto="1"/>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top style="medium">
        <color rgb="FF000000"/>
      </top>
      <bottom style="medium">
        <color rgb="FF000000"/>
      </bottom>
      <diagonal/>
    </border>
    <border>
      <left style="medium">
        <color auto="1"/>
      </left>
      <right/>
      <top style="medium">
        <color rgb="FF000000"/>
      </top>
      <bottom/>
      <diagonal/>
    </border>
    <border>
      <left style="medium">
        <color auto="1"/>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auto="1"/>
      </left>
      <right style="medium">
        <color rgb="FF000000"/>
      </right>
      <top/>
      <bottom/>
      <diagonal/>
    </border>
    <border>
      <left style="medium">
        <color rgb="FF000000"/>
      </left>
      <right style="medium">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style="medium">
        <color auto="1"/>
      </right>
      <top style="medium">
        <color rgb="FF000000"/>
      </top>
      <bottom style="medium">
        <color rgb="FF000000"/>
      </bottom>
      <diagonal/>
    </border>
    <border>
      <left/>
      <right style="medium">
        <color auto="1"/>
      </right>
      <top/>
      <bottom style="medium">
        <color rgb="FF000000"/>
      </bottom>
      <diagonal/>
    </border>
    <border>
      <left style="medium">
        <color auto="1"/>
      </left>
      <right style="medium">
        <color rgb="FF000000"/>
      </right>
      <top style="medium">
        <color rgb="FF000000"/>
      </top>
      <bottom style="medium">
        <color rgb="FF000000"/>
      </bottom>
      <diagonal/>
    </border>
    <border>
      <left style="medium">
        <color auto="1"/>
      </left>
      <right/>
      <top/>
      <bottom style="medium">
        <color rgb="FF000000"/>
      </bottom>
      <diagonal/>
    </border>
    <border>
      <left/>
      <right/>
      <top style="medium">
        <color auto="1"/>
      </top>
      <bottom style="medium">
        <color auto="1"/>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auto="1"/>
      </left>
      <right style="medium">
        <color auto="1"/>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medium">
        <color auto="1"/>
      </right>
      <top/>
      <bottom/>
      <diagonal/>
    </border>
    <border>
      <left/>
      <right/>
      <top/>
      <bottom style="hair">
        <color indexed="55"/>
      </bottom>
      <diagonal/>
    </border>
    <border>
      <left/>
      <right/>
      <top style="hair">
        <color indexed="55"/>
      </top>
      <bottom style="hair">
        <color indexed="55"/>
      </bottom>
      <diagonal/>
    </border>
    <border>
      <left style="medium">
        <color auto="1"/>
      </left>
      <right style="medium">
        <color auto="1"/>
      </right>
      <top style="medium">
        <color auto="1"/>
      </top>
      <bottom style="hair">
        <color indexed="55"/>
      </bottom>
      <diagonal/>
    </border>
    <border>
      <left style="medium">
        <color auto="1"/>
      </left>
      <right style="medium">
        <color auto="1"/>
      </right>
      <top style="hair">
        <color indexed="55"/>
      </top>
      <bottom style="hair">
        <color indexed="55"/>
      </bottom>
      <diagonal/>
    </border>
    <border>
      <left style="medium">
        <color auto="1"/>
      </left>
      <right style="medium">
        <color auto="1"/>
      </right>
      <top style="hair">
        <color indexed="55"/>
      </top>
      <bottom style="medium">
        <color auto="1"/>
      </bottom>
      <diagonal/>
    </border>
    <border>
      <left style="medium">
        <color rgb="FF000000"/>
      </left>
      <right style="medium">
        <color rgb="FF000000"/>
      </right>
      <top style="medium">
        <color auto="1"/>
      </top>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style="hair">
        <color indexed="55"/>
      </top>
      <bottom/>
      <diagonal/>
    </border>
    <border>
      <left style="medium">
        <color rgb="FF000000"/>
      </left>
      <right/>
      <top style="medium">
        <color rgb="FF000000"/>
      </top>
      <bottom style="medium">
        <color auto="1"/>
      </bottom>
      <diagonal/>
    </border>
    <border>
      <left style="medium">
        <color rgb="FF000000"/>
      </left>
      <right/>
      <top style="medium">
        <color auto="1"/>
      </top>
      <bottom/>
      <diagonal/>
    </border>
    <border>
      <left/>
      <right style="medium">
        <color rgb="FF000000"/>
      </right>
      <top style="medium">
        <color auto="1"/>
      </top>
      <bottom/>
      <diagonal/>
    </border>
    <border>
      <left style="medium">
        <color auto="1"/>
      </left>
      <right style="medium">
        <color rgb="FF000000"/>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style="medium">
        <color rgb="FF000000"/>
      </left>
      <right style="medium">
        <color auto="1"/>
      </right>
      <top/>
      <bottom/>
      <diagonal/>
    </border>
    <border>
      <left/>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109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38" fontId="9" fillId="3" borderId="0" applyNumberFormat="0" applyBorder="0" applyAlignment="0" applyProtection="0"/>
    <xf numFmtId="10" fontId="9" fillId="4" borderId="26" applyNumberFormat="0" applyBorder="0" applyAlignment="0" applyProtection="0"/>
    <xf numFmtId="166" fontId="10" fillId="0" borderId="0"/>
    <xf numFmtId="10" fontId="8"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1" fillId="0" borderId="0"/>
    <xf numFmtId="44" fontId="1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8" fillId="0" borderId="0"/>
    <xf numFmtId="44"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0" fillId="0" borderId="0"/>
    <xf numFmtId="0" fontId="8" fillId="0" borderId="0"/>
  </cellStyleXfs>
  <cellXfs count="772">
    <xf numFmtId="0" fontId="0" fillId="0" borderId="0" xfId="0"/>
    <xf numFmtId="0" fontId="12" fillId="0" borderId="0" xfId="133" applyFont="1"/>
    <xf numFmtId="0" fontId="13" fillId="0" borderId="0" xfId="133" applyFont="1" applyAlignment="1">
      <alignment horizontal="right"/>
    </xf>
    <xf numFmtId="0" fontId="12" fillId="0" borderId="0" xfId="133" applyFont="1" applyAlignment="1">
      <alignment wrapText="1"/>
    </xf>
    <xf numFmtId="0" fontId="15" fillId="0" borderId="0" xfId="0" applyFont="1"/>
    <xf numFmtId="0" fontId="15" fillId="9" borderId="48" xfId="0" applyFont="1" applyFill="1" applyBorder="1" applyAlignment="1">
      <alignment vertical="center"/>
    </xf>
    <xf numFmtId="0" fontId="20" fillId="9" borderId="12"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15" fillId="9" borderId="15" xfId="0" applyFont="1" applyFill="1" applyBorder="1"/>
    <xf numFmtId="0" fontId="15" fillId="9" borderId="13" xfId="0" applyFont="1" applyFill="1" applyBorder="1"/>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xf>
    <xf numFmtId="0" fontId="22" fillId="8" borderId="15" xfId="0" applyFont="1" applyFill="1" applyBorder="1" applyAlignment="1">
      <alignment vertical="center" wrapText="1"/>
    </xf>
    <xf numFmtId="0" fontId="23" fillId="8" borderId="15" xfId="0" applyFont="1" applyFill="1" applyBorder="1"/>
    <xf numFmtId="0" fontId="22" fillId="8" borderId="13" xfId="0" applyFont="1" applyFill="1" applyBorder="1" applyAlignment="1">
      <alignment vertical="center" wrapText="1"/>
    </xf>
    <xf numFmtId="6" fontId="22" fillId="6" borderId="13" xfId="0" applyNumberFormat="1" applyFont="1" applyFill="1" applyBorder="1" applyAlignment="1">
      <alignment horizontal="center" vertical="center" wrapText="1"/>
    </xf>
    <xf numFmtId="8" fontId="15" fillId="0" borderId="0" xfId="0" applyNumberFormat="1" applyFont="1"/>
    <xf numFmtId="3" fontId="21" fillId="8" borderId="9" xfId="0" applyNumberFormat="1" applyFont="1" applyFill="1" applyBorder="1" applyAlignment="1">
      <alignment horizontal="center" vertical="center" wrapText="1"/>
    </xf>
    <xf numFmtId="164" fontId="24" fillId="9" borderId="15" xfId="0" applyNumberFormat="1" applyFont="1" applyFill="1" applyBorder="1" applyAlignment="1">
      <alignment horizontal="center" vertical="center" wrapText="1"/>
    </xf>
    <xf numFmtId="0" fontId="23" fillId="0" borderId="0" xfId="0" applyFont="1"/>
    <xf numFmtId="0" fontId="22" fillId="8" borderId="16" xfId="0" applyFont="1" applyFill="1" applyBorder="1" applyAlignment="1">
      <alignment horizontal="right" vertical="center" wrapText="1"/>
    </xf>
    <xf numFmtId="0" fontId="22" fillId="8" borderId="48" xfId="0" applyFont="1" applyFill="1" applyBorder="1" applyAlignment="1">
      <alignment horizontal="right" vertical="center" wrapText="1"/>
    </xf>
    <xf numFmtId="0" fontId="22" fillId="8" borderId="48" xfId="0" applyFont="1" applyFill="1" applyBorder="1"/>
    <xf numFmtId="0" fontId="22" fillId="9" borderId="48" xfId="0" applyFont="1" applyFill="1" applyBorder="1"/>
    <xf numFmtId="0" fontId="23" fillId="9" borderId="48" xfId="0" applyFont="1" applyFill="1" applyBorder="1"/>
    <xf numFmtId="0" fontId="23" fillId="8" borderId="25" xfId="0" applyFont="1" applyFill="1" applyBorder="1"/>
    <xf numFmtId="0" fontId="31" fillId="8" borderId="43"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5" xfId="0" applyFont="1" applyBorder="1" applyAlignment="1">
      <alignment horizontal="center" vertical="center" wrapText="1"/>
    </xf>
    <xf numFmtId="0" fontId="22" fillId="0" borderId="10" xfId="0" applyFont="1" applyBorder="1" applyAlignment="1">
      <alignment horizontal="left" vertical="center" wrapText="1"/>
    </xf>
    <xf numFmtId="0" fontId="32" fillId="0" borderId="11" xfId="0" applyFont="1" applyBorder="1" applyAlignment="1">
      <alignment horizontal="left" vertical="center" wrapText="1"/>
    </xf>
    <xf numFmtId="0" fontId="23" fillId="8" borderId="37" xfId="0" applyFont="1" applyFill="1" applyBorder="1" applyAlignment="1">
      <alignment horizontal="center" vertical="center"/>
    </xf>
    <xf numFmtId="0" fontId="22" fillId="8" borderId="48" xfId="0" applyFont="1" applyFill="1" applyBorder="1" applyAlignment="1">
      <alignment horizontal="left" vertical="center" wrapText="1"/>
    </xf>
    <xf numFmtId="0" fontId="32" fillId="0" borderId="10" xfId="0" applyFont="1" applyBorder="1" applyAlignment="1">
      <alignment horizontal="left" vertical="center" wrapText="1"/>
    </xf>
    <xf numFmtId="0" fontId="22" fillId="8" borderId="15" xfId="0" applyFont="1" applyFill="1" applyBorder="1" applyAlignment="1">
      <alignment horizontal="left" vertical="center" wrapText="1"/>
    </xf>
    <xf numFmtId="0" fontId="18" fillId="0" borderId="46" xfId="0" applyFont="1" applyBorder="1" applyAlignment="1">
      <alignment horizontal="center" vertical="center" wrapText="1"/>
    </xf>
    <xf numFmtId="0" fontId="31" fillId="0" borderId="10" xfId="0" applyFont="1" applyBorder="1" applyAlignment="1">
      <alignment horizontal="left" vertical="center" wrapText="1"/>
    </xf>
    <xf numFmtId="0" fontId="22" fillId="8" borderId="21" xfId="0" applyFont="1" applyFill="1" applyBorder="1" applyAlignment="1">
      <alignment vertical="center" wrapText="1"/>
    </xf>
    <xf numFmtId="6" fontId="22" fillId="8" borderId="22" xfId="0" applyNumberFormat="1" applyFont="1" applyFill="1" applyBorder="1" applyAlignment="1">
      <alignment horizontal="right" vertical="center" wrapText="1"/>
    </xf>
    <xf numFmtId="0" fontId="22" fillId="0" borderId="0" xfId="0" applyFont="1"/>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6" fontId="21" fillId="6" borderId="1" xfId="0" applyNumberFormat="1" applyFont="1" applyFill="1" applyBorder="1" applyAlignment="1">
      <alignment horizontal="center" vertical="center" wrapText="1"/>
    </xf>
    <xf numFmtId="0" fontId="12" fillId="0" borderId="0" xfId="0" applyFont="1"/>
    <xf numFmtId="9" fontId="15" fillId="0" borderId="0" xfId="7" applyFont="1"/>
    <xf numFmtId="6" fontId="15" fillId="0" borderId="0" xfId="0" applyNumberFormat="1" applyFont="1"/>
    <xf numFmtId="167" fontId="15" fillId="0" borderId="0" xfId="0" applyNumberFormat="1" applyFont="1"/>
    <xf numFmtId="0" fontId="26" fillId="10" borderId="21" xfId="0" applyFont="1" applyFill="1" applyBorder="1" applyAlignment="1">
      <alignment horizontal="left" vertical="center"/>
    </xf>
    <xf numFmtId="0" fontId="15" fillId="9" borderId="22" xfId="0" applyFont="1" applyFill="1" applyBorder="1" applyAlignment="1">
      <alignment vertical="center"/>
    </xf>
    <xf numFmtId="0" fontId="24" fillId="10" borderId="22" xfId="0" applyFont="1" applyFill="1" applyBorder="1" applyAlignment="1">
      <alignment horizontal="center" vertical="center" wrapText="1"/>
    </xf>
    <xf numFmtId="0" fontId="23" fillId="9" borderId="16" xfId="0" applyFont="1" applyFill="1" applyBorder="1"/>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0" borderId="0" xfId="0" applyFont="1" applyAlignment="1">
      <alignment horizontal="center" vertical="center"/>
    </xf>
    <xf numFmtId="0" fontId="21" fillId="0" borderId="33" xfId="0" applyFont="1" applyBorder="1" applyAlignment="1">
      <alignment vertical="center" wrapText="1"/>
    </xf>
    <xf numFmtId="0" fontId="22" fillId="0" borderId="43" xfId="0" applyFont="1" applyBorder="1" applyAlignment="1">
      <alignment vertical="center" wrapText="1"/>
    </xf>
    <xf numFmtId="0" fontId="22" fillId="0" borderId="51" xfId="0" applyFont="1" applyBorder="1" applyAlignment="1">
      <alignment vertical="center" wrapText="1"/>
    </xf>
    <xf numFmtId="0" fontId="22" fillId="0" borderId="27" xfId="0" applyFont="1" applyBorder="1" applyAlignment="1">
      <alignment vertical="center" wrapText="1"/>
    </xf>
    <xf numFmtId="0" fontId="23" fillId="9" borderId="19" xfId="0" applyFont="1" applyFill="1" applyBorder="1"/>
    <xf numFmtId="0" fontId="35" fillId="9" borderId="0" xfId="0" applyFont="1" applyFill="1" applyAlignment="1">
      <alignment horizontal="center" vertical="center"/>
    </xf>
    <xf numFmtId="0" fontId="35" fillId="9" borderId="20" xfId="0" applyFont="1" applyFill="1" applyBorder="1" applyAlignment="1">
      <alignment horizontal="center" vertical="center"/>
    </xf>
    <xf numFmtId="0" fontId="23" fillId="9" borderId="0" xfId="0" applyFont="1" applyFill="1"/>
    <xf numFmtId="0" fontId="22" fillId="7" borderId="33" xfId="0" applyFont="1" applyFill="1" applyBorder="1" applyAlignment="1">
      <alignment vertical="center" wrapText="1"/>
    </xf>
    <xf numFmtId="0" fontId="22" fillId="0" borderId="33" xfId="0" applyFont="1" applyBorder="1" applyAlignment="1">
      <alignment vertical="center" wrapText="1"/>
    </xf>
    <xf numFmtId="0" fontId="22" fillId="0" borderId="49" xfId="0" applyFont="1" applyBorder="1" applyAlignment="1">
      <alignment vertical="center" wrapText="1"/>
    </xf>
    <xf numFmtId="0" fontId="22" fillId="0" borderId="34" xfId="0" applyFont="1" applyBorder="1" applyAlignment="1">
      <alignment vertical="center" wrapText="1"/>
    </xf>
    <xf numFmtId="0" fontId="22" fillId="0" borderId="41" xfId="0" applyFont="1" applyBorder="1" applyAlignment="1">
      <alignment vertical="center" wrapText="1"/>
    </xf>
    <xf numFmtId="0" fontId="22" fillId="0" borderId="46" xfId="0" applyFont="1" applyBorder="1" applyAlignment="1">
      <alignment horizontal="left" vertical="center" wrapText="1"/>
    </xf>
    <xf numFmtId="0" fontId="23" fillId="9" borderId="20" xfId="0" applyFont="1" applyFill="1" applyBorder="1"/>
    <xf numFmtId="0" fontId="22" fillId="8" borderId="0" xfId="0" applyFont="1" applyFill="1" applyAlignment="1">
      <alignment horizontal="left" vertical="center" wrapText="1"/>
    </xf>
    <xf numFmtId="6" fontId="22" fillId="8" borderId="0" xfId="0" applyNumberFormat="1" applyFont="1" applyFill="1" applyAlignment="1">
      <alignment horizontal="center" vertical="center" wrapText="1"/>
    </xf>
    <xf numFmtId="0" fontId="22" fillId="9" borderId="0" xfId="0" applyFont="1" applyFill="1" applyAlignment="1">
      <alignment horizontal="left" vertical="center" wrapText="1"/>
    </xf>
    <xf numFmtId="6" fontId="22" fillId="9" borderId="0" xfId="0" applyNumberFormat="1" applyFont="1" applyFill="1" applyAlignment="1">
      <alignment horizontal="right" vertical="center" wrapText="1"/>
    </xf>
    <xf numFmtId="0" fontId="22" fillId="6" borderId="10"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5" fillId="9" borderId="8" xfId="0" applyFont="1" applyFill="1" applyBorder="1" applyAlignment="1">
      <alignment vertical="center" wrapText="1"/>
    </xf>
    <xf numFmtId="3" fontId="24" fillId="9" borderId="8" xfId="0" applyNumberFormat="1" applyFont="1" applyFill="1" applyBorder="1" applyAlignment="1">
      <alignment horizontal="right" vertical="center" wrapText="1"/>
    </xf>
    <xf numFmtId="6" fontId="24" fillId="9" borderId="8" xfId="0" applyNumberFormat="1" applyFont="1" applyFill="1" applyBorder="1" applyAlignment="1">
      <alignment horizontal="right" vertical="center" wrapText="1"/>
    </xf>
    <xf numFmtId="0" fontId="24" fillId="9" borderId="8" xfId="0" applyFont="1" applyFill="1" applyBorder="1" applyAlignment="1">
      <alignment horizontal="right" vertical="center" wrapText="1"/>
    </xf>
    <xf numFmtId="0" fontId="24" fillId="9" borderId="8" xfId="0" applyFont="1" applyFill="1" applyBorder="1" applyAlignment="1">
      <alignment horizontal="center" vertical="center" wrapText="1"/>
    </xf>
    <xf numFmtId="3" fontId="26" fillId="9" borderId="8" xfId="0" applyNumberFormat="1" applyFont="1" applyFill="1" applyBorder="1" applyAlignment="1">
      <alignment horizontal="right" vertical="center" wrapText="1"/>
    </xf>
    <xf numFmtId="0" fontId="15" fillId="8" borderId="8" xfId="0" applyFont="1" applyFill="1" applyBorder="1"/>
    <xf numFmtId="0" fontId="15" fillId="8" borderId="9" xfId="0" applyFont="1" applyFill="1" applyBorder="1"/>
    <xf numFmtId="8" fontId="15" fillId="0" borderId="0" xfId="132" applyNumberFormat="1" applyFont="1"/>
    <xf numFmtId="44" fontId="12" fillId="0" borderId="0" xfId="133" applyNumberFormat="1" applyFont="1"/>
    <xf numFmtId="8" fontId="12" fillId="0" borderId="0" xfId="133" applyNumberFormat="1" applyFont="1"/>
    <xf numFmtId="0" fontId="33" fillId="0" borderId="0" xfId="133" applyFont="1"/>
    <xf numFmtId="0" fontId="33" fillId="0" borderId="55" xfId="133" applyFont="1" applyBorder="1" applyAlignment="1">
      <alignment horizontal="left"/>
    </xf>
    <xf numFmtId="0" fontId="13" fillId="0" borderId="55" xfId="133" applyFont="1" applyBorder="1" applyAlignment="1">
      <alignment horizontal="left"/>
    </xf>
    <xf numFmtId="14" fontId="13" fillId="0" borderId="55" xfId="133" applyNumberFormat="1" applyFont="1" applyBorder="1" applyAlignment="1">
      <alignment horizontal="left"/>
    </xf>
    <xf numFmtId="2" fontId="13" fillId="6" borderId="27" xfId="133" applyNumberFormat="1" applyFont="1" applyFill="1" applyBorder="1" applyAlignment="1">
      <alignment horizontal="center"/>
    </xf>
    <xf numFmtId="0" fontId="33" fillId="0" borderId="0" xfId="133" applyFont="1" applyAlignment="1">
      <alignment wrapText="1"/>
    </xf>
    <xf numFmtId="0" fontId="33" fillId="0" borderId="0" xfId="133" applyFont="1" applyAlignment="1">
      <alignment horizontal="center"/>
    </xf>
    <xf numFmtId="9" fontId="39" fillId="0" borderId="0" xfId="7" applyFont="1" applyBorder="1"/>
    <xf numFmtId="171" fontId="40" fillId="0" borderId="0" xfId="28" applyNumberFormat="1" applyFont="1"/>
    <xf numFmtId="8" fontId="13" fillId="0" borderId="0" xfId="133" applyNumberFormat="1" applyFont="1" applyAlignment="1">
      <alignment horizontal="left"/>
    </xf>
    <xf numFmtId="0" fontId="13" fillId="0" borderId="0" xfId="133" applyFont="1" applyAlignment="1">
      <alignment horizontal="left"/>
    </xf>
    <xf numFmtId="0" fontId="15" fillId="9" borderId="16" xfId="0" applyFont="1" applyFill="1" applyBorder="1" applyAlignment="1">
      <alignment horizontal="center" vertical="center" wrapText="1"/>
    </xf>
    <xf numFmtId="0" fontId="15" fillId="9" borderId="17" xfId="0" applyFont="1" applyFill="1" applyBorder="1" applyAlignment="1">
      <alignment horizontal="center" vertical="center"/>
    </xf>
    <xf numFmtId="0" fontId="15" fillId="9" borderId="18" xfId="0" applyFont="1" applyFill="1" applyBorder="1" applyAlignment="1">
      <alignment horizontal="center" vertical="center"/>
    </xf>
    <xf numFmtId="0" fontId="15" fillId="0" borderId="27" xfId="0" applyFont="1" applyBorder="1" applyAlignment="1">
      <alignment horizontal="center"/>
    </xf>
    <xf numFmtId="0" fontId="17" fillId="0" borderId="27" xfId="0" applyFont="1" applyBorder="1" applyAlignment="1">
      <alignment horizontal="center" wrapText="1"/>
    </xf>
    <xf numFmtId="0" fontId="23" fillId="9" borderId="5" xfId="0" applyFont="1" applyFill="1" applyBorder="1"/>
    <xf numFmtId="6" fontId="23" fillId="0" borderId="0" xfId="0" applyNumberFormat="1" applyFont="1"/>
    <xf numFmtId="0" fontId="15" fillId="9" borderId="25" xfId="0" applyFont="1" applyFill="1" applyBorder="1" applyAlignment="1">
      <alignment vertical="center"/>
    </xf>
    <xf numFmtId="168" fontId="34" fillId="9" borderId="17" xfId="7" applyNumberFormat="1" applyFont="1" applyFill="1" applyBorder="1" applyAlignment="1">
      <alignment horizontal="center" vertical="center"/>
    </xf>
    <xf numFmtId="0" fontId="25" fillId="0" borderId="27" xfId="0" applyFont="1" applyBorder="1" applyAlignment="1">
      <alignment horizontal="center" vertical="center" wrapText="1"/>
    </xf>
    <xf numFmtId="0" fontId="24" fillId="0" borderId="62" xfId="0" applyFont="1" applyBorder="1" applyAlignment="1">
      <alignment horizontal="center" vertical="center" wrapText="1"/>
    </xf>
    <xf numFmtId="165" fontId="41" fillId="12" borderId="23" xfId="0" applyNumberFormat="1" applyFont="1" applyFill="1" applyBorder="1" applyAlignment="1">
      <alignment horizontal="center" vertical="center" wrapText="1"/>
    </xf>
    <xf numFmtId="0" fontId="41" fillId="0" borderId="29" xfId="0" applyFont="1" applyBorder="1" applyAlignment="1">
      <alignment horizontal="center" vertical="center" wrapText="1"/>
    </xf>
    <xf numFmtId="172" fontId="15" fillId="6" borderId="27" xfId="0" applyNumberFormat="1" applyFont="1" applyFill="1" applyBorder="1" applyAlignment="1">
      <alignment horizontal="center"/>
    </xf>
    <xf numFmtId="0" fontId="20" fillId="0" borderId="27" xfId="0" applyFont="1" applyBorder="1" applyAlignment="1">
      <alignment horizontal="center" vertical="center" wrapText="1"/>
    </xf>
    <xf numFmtId="0" fontId="20" fillId="0" borderId="25" xfId="0" applyFont="1" applyBorder="1" applyAlignment="1">
      <alignment horizontal="center" vertical="center" wrapText="1"/>
    </xf>
    <xf numFmtId="44" fontId="13" fillId="0" borderId="0" xfId="133" applyNumberFormat="1" applyFont="1" applyAlignment="1">
      <alignment horizontal="left"/>
    </xf>
    <xf numFmtId="172" fontId="33" fillId="0" borderId="0" xfId="133" applyNumberFormat="1" applyFont="1" applyAlignment="1">
      <alignment horizontal="center"/>
    </xf>
    <xf numFmtId="0" fontId="42" fillId="0" borderId="0" xfId="0" applyFont="1"/>
    <xf numFmtId="14" fontId="12" fillId="0" borderId="0" xfId="133" applyNumberFormat="1" applyFont="1"/>
    <xf numFmtId="0" fontId="12" fillId="0" borderId="26" xfId="133" applyFont="1" applyBorder="1" applyAlignment="1">
      <alignment horizontal="center" wrapText="1"/>
    </xf>
    <xf numFmtId="0" fontId="12" fillId="0" borderId="26" xfId="133" applyFont="1" applyBorder="1" applyAlignment="1">
      <alignment wrapText="1"/>
    </xf>
    <xf numFmtId="0" fontId="12" fillId="0" borderId="26" xfId="133" applyFont="1" applyBorder="1" applyAlignment="1">
      <alignment horizontal="center"/>
    </xf>
    <xf numFmtId="172" fontId="12" fillId="0" borderId="26" xfId="133" applyNumberFormat="1" applyFont="1" applyBorder="1" applyAlignment="1">
      <alignment horizontal="center"/>
    </xf>
    <xf numFmtId="0" fontId="12" fillId="0" borderId="26" xfId="133" applyFont="1" applyBorder="1"/>
    <xf numFmtId="165" fontId="41" fillId="12" borderId="27" xfId="0" applyNumberFormat="1" applyFont="1" applyFill="1" applyBorder="1" applyAlignment="1">
      <alignment horizontal="center" vertical="center" wrapText="1"/>
    </xf>
    <xf numFmtId="165" fontId="41" fillId="12" borderId="29" xfId="0" applyNumberFormat="1" applyFont="1" applyFill="1" applyBorder="1" applyAlignment="1">
      <alignment horizontal="center" vertical="center" wrapText="1"/>
    </xf>
    <xf numFmtId="172" fontId="12" fillId="0" borderId="0" xfId="133" applyNumberFormat="1" applyFont="1"/>
    <xf numFmtId="165" fontId="22" fillId="6" borderId="13" xfId="131" applyNumberFormat="1" applyFont="1" applyFill="1" applyBorder="1" applyAlignment="1">
      <alignment horizontal="center" vertical="center" wrapText="1"/>
    </xf>
    <xf numFmtId="165" fontId="21" fillId="6" borderId="9" xfId="131" applyNumberFormat="1" applyFont="1" applyFill="1" applyBorder="1" applyAlignment="1">
      <alignment horizontal="center" vertical="center" wrapText="1"/>
    </xf>
    <xf numFmtId="0" fontId="13" fillId="0" borderId="55" xfId="133" applyFont="1" applyBorder="1" applyAlignment="1">
      <alignment horizontal="right" wrapText="1"/>
    </xf>
    <xf numFmtId="1" fontId="13" fillId="6" borderId="58" xfId="133" applyNumberFormat="1" applyFont="1" applyFill="1" applyBorder="1" applyAlignment="1">
      <alignment horizontal="center"/>
    </xf>
    <xf numFmtId="44" fontId="13" fillId="6" borderId="58" xfId="134" applyFont="1" applyFill="1" applyBorder="1" applyAlignment="1">
      <alignment horizontal="center"/>
    </xf>
    <xf numFmtId="44" fontId="13" fillId="6" borderId="63" xfId="134" applyFont="1" applyFill="1" applyBorder="1" applyAlignment="1">
      <alignment horizontal="center"/>
    </xf>
    <xf numFmtId="172" fontId="13" fillId="6" borderId="29" xfId="133" applyNumberFormat="1" applyFont="1" applyFill="1" applyBorder="1" applyAlignment="1">
      <alignment horizontal="center"/>
    </xf>
    <xf numFmtId="6" fontId="13" fillId="6" borderId="57" xfId="133" applyNumberFormat="1" applyFont="1" applyFill="1" applyBorder="1" applyAlignment="1">
      <alignment horizontal="center"/>
    </xf>
    <xf numFmtId="170" fontId="13" fillId="6" borderId="58" xfId="133" applyNumberFormat="1" applyFont="1" applyFill="1" applyBorder="1" applyAlignment="1">
      <alignment horizontal="center"/>
    </xf>
    <xf numFmtId="0" fontId="44" fillId="0" borderId="0" xfId="411" applyFont="1"/>
    <xf numFmtId="165" fontId="22" fillId="6" borderId="45" xfId="0" applyNumberFormat="1" applyFont="1" applyFill="1" applyBorder="1" applyAlignment="1">
      <alignment horizontal="center" vertical="center" wrapText="1"/>
    </xf>
    <xf numFmtId="165" fontId="21" fillId="8" borderId="45" xfId="0" applyNumberFormat="1" applyFont="1" applyFill="1" applyBorder="1" applyAlignment="1">
      <alignment horizontal="center" vertical="center" wrapText="1"/>
    </xf>
    <xf numFmtId="165" fontId="22" fillId="6" borderId="13" xfId="0" applyNumberFormat="1" applyFont="1" applyFill="1" applyBorder="1" applyAlignment="1">
      <alignment horizontal="center" vertical="center" wrapText="1"/>
    </xf>
    <xf numFmtId="0" fontId="12" fillId="0" borderId="0" xfId="133" applyFont="1" applyAlignment="1">
      <alignment horizontal="center"/>
    </xf>
    <xf numFmtId="172" fontId="12" fillId="0" borderId="0" xfId="133" applyNumberFormat="1" applyFont="1" applyAlignment="1">
      <alignment horizontal="center"/>
    </xf>
    <xf numFmtId="14" fontId="12" fillId="0" borderId="0" xfId="133" applyNumberFormat="1" applyFont="1" applyAlignment="1">
      <alignment horizontal="center"/>
    </xf>
    <xf numFmtId="0" fontId="13" fillId="0" borderId="56" xfId="133" applyFont="1" applyBorder="1" applyAlignment="1">
      <alignment horizontal="center" wrapText="1"/>
    </xf>
    <xf numFmtId="0" fontId="29" fillId="0" borderId="27" xfId="0" applyFont="1" applyBorder="1" applyAlignment="1">
      <alignment horizontal="center"/>
    </xf>
    <xf numFmtId="0" fontId="22" fillId="8" borderId="14" xfId="0" applyFont="1" applyFill="1" applyBorder="1" applyAlignment="1">
      <alignment horizontal="left" vertical="center" wrapText="1"/>
    </xf>
    <xf numFmtId="0" fontId="22" fillId="8" borderId="11"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45" fillId="0" borderId="0" xfId="0" applyFont="1"/>
    <xf numFmtId="0" fontId="22" fillId="7"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22" fillId="7" borderId="27" xfId="0" applyFont="1" applyFill="1" applyBorder="1" applyAlignment="1">
      <alignment horizontal="left" vertical="center" wrapText="1"/>
    </xf>
    <xf numFmtId="0" fontId="22" fillId="0" borderId="50" xfId="0" applyFont="1" applyBorder="1" applyAlignment="1">
      <alignment horizontal="left" vertical="center" wrapText="1"/>
    </xf>
    <xf numFmtId="0" fontId="21" fillId="13" borderId="6" xfId="0" applyFont="1" applyFill="1" applyBorder="1" applyAlignment="1">
      <alignment horizontal="center" vertical="center" wrapText="1"/>
    </xf>
    <xf numFmtId="0" fontId="17" fillId="5" borderId="27" xfId="0" applyFont="1" applyFill="1" applyBorder="1" applyAlignment="1" applyProtection="1">
      <alignment horizontal="center" wrapText="1"/>
      <protection locked="0"/>
    </xf>
    <xf numFmtId="6" fontId="25" fillId="5" borderId="27" xfId="0" applyNumberFormat="1" applyFont="1" applyFill="1" applyBorder="1" applyAlignment="1" applyProtection="1">
      <alignment horizontal="center" vertical="center" wrapText="1"/>
      <protection locked="0"/>
    </xf>
    <xf numFmtId="0" fontId="22" fillId="5" borderId="10" xfId="0" applyFont="1" applyFill="1" applyBorder="1" applyAlignment="1" applyProtection="1">
      <alignment horizontal="left" vertical="center" wrapText="1"/>
      <protection locked="0"/>
    </xf>
    <xf numFmtId="0" fontId="48" fillId="0" borderId="27" xfId="0" applyFont="1" applyBorder="1" applyAlignment="1">
      <alignment horizontal="center" vertical="center" wrapText="1"/>
    </xf>
    <xf numFmtId="2" fontId="22" fillId="6" borderId="13" xfId="0" applyNumberFormat="1" applyFont="1" applyFill="1" applyBorder="1" applyAlignment="1">
      <alignment horizontal="center" vertical="center" wrapText="1"/>
    </xf>
    <xf numFmtId="165" fontId="22" fillId="8" borderId="48" xfId="0" applyNumberFormat="1" applyFont="1" applyFill="1" applyBorder="1" applyAlignment="1">
      <alignment horizontal="center" vertical="center" wrapText="1"/>
    </xf>
    <xf numFmtId="165" fontId="22" fillId="8" borderId="25" xfId="0" applyNumberFormat="1" applyFont="1" applyFill="1" applyBorder="1" applyAlignment="1">
      <alignment horizontal="center" vertical="center" wrapText="1"/>
    </xf>
    <xf numFmtId="10" fontId="22" fillId="6" borderId="18" xfId="0" applyNumberFormat="1" applyFont="1" applyFill="1" applyBorder="1" applyAlignment="1" applyProtection="1">
      <alignment horizontal="center" vertical="center" wrapText="1"/>
      <protection hidden="1"/>
    </xf>
    <xf numFmtId="9" fontId="22" fillId="13" borderId="1" xfId="0" applyNumberFormat="1" applyFont="1" applyFill="1" applyBorder="1" applyAlignment="1" applyProtection="1">
      <alignment horizontal="center" vertical="center" wrapText="1"/>
      <protection hidden="1"/>
    </xf>
    <xf numFmtId="165" fontId="22" fillId="6" borderId="32" xfId="0" applyNumberFormat="1" applyFont="1" applyFill="1" applyBorder="1" applyAlignment="1" applyProtection="1">
      <alignment horizontal="center" vertical="center" wrapText="1"/>
      <protection hidden="1"/>
    </xf>
    <xf numFmtId="6" fontId="22" fillId="6" borderId="31" xfId="0" applyNumberFormat="1" applyFont="1" applyFill="1" applyBorder="1" applyAlignment="1" applyProtection="1">
      <alignment horizontal="center" vertical="center" wrapText="1"/>
      <protection hidden="1"/>
    </xf>
    <xf numFmtId="6" fontId="22" fillId="6" borderId="45" xfId="0" applyNumberFormat="1" applyFont="1" applyFill="1" applyBorder="1" applyAlignment="1" applyProtection="1">
      <alignment horizontal="center" vertical="center" wrapText="1"/>
      <protection hidden="1"/>
    </xf>
    <xf numFmtId="165" fontId="22" fillId="6" borderId="9" xfId="0" applyNumberFormat="1" applyFont="1" applyFill="1" applyBorder="1" applyAlignment="1" applyProtection="1">
      <alignment horizontal="center" vertical="center" wrapText="1"/>
      <protection hidden="1"/>
    </xf>
    <xf numFmtId="165" fontId="22" fillId="6" borderId="45" xfId="0" applyNumberFormat="1" applyFont="1" applyFill="1" applyBorder="1" applyAlignment="1" applyProtection="1">
      <alignment horizontal="center" vertical="center" wrapText="1"/>
      <protection hidden="1"/>
    </xf>
    <xf numFmtId="165" fontId="22" fillId="6" borderId="6" xfId="131" applyNumberFormat="1" applyFont="1" applyFill="1" applyBorder="1" applyAlignment="1" applyProtection="1">
      <alignment horizontal="center" vertical="center" wrapText="1"/>
      <protection hidden="1"/>
    </xf>
    <xf numFmtId="6" fontId="21" fillId="6" borderId="9" xfId="0" applyNumberFormat="1" applyFont="1" applyFill="1" applyBorder="1" applyAlignment="1" applyProtection="1">
      <alignment horizontal="center" vertical="center" wrapText="1"/>
      <protection hidden="1"/>
    </xf>
    <xf numFmtId="165" fontId="22" fillId="6" borderId="45" xfId="131" applyNumberFormat="1" applyFont="1" applyFill="1" applyBorder="1" applyAlignment="1" applyProtection="1">
      <alignment horizontal="center" vertical="center" wrapText="1"/>
      <protection hidden="1"/>
    </xf>
    <xf numFmtId="165" fontId="22" fillId="6" borderId="13" xfId="0" applyNumberFormat="1" applyFont="1" applyFill="1" applyBorder="1" applyAlignment="1" applyProtection="1">
      <alignment horizontal="center" vertical="center" wrapText="1"/>
      <protection hidden="1"/>
    </xf>
    <xf numFmtId="0" fontId="47" fillId="0" borderId="0" xfId="0" applyFont="1"/>
    <xf numFmtId="0" fontId="22" fillId="6" borderId="1" xfId="0" applyFont="1" applyFill="1" applyBorder="1" applyAlignment="1">
      <alignment horizontal="left" vertical="center" wrapText="1"/>
    </xf>
    <xf numFmtId="0" fontId="46" fillId="0" borderId="0" xfId="0" applyFont="1" applyAlignment="1">
      <alignment vertical="center" wrapText="1"/>
    </xf>
    <xf numFmtId="0" fontId="22" fillId="6" borderId="12" xfId="0" applyFont="1" applyFill="1" applyBorder="1" applyAlignment="1">
      <alignment horizontal="left" vertical="center" wrapText="1"/>
    </xf>
    <xf numFmtId="0" fontId="18" fillId="2" borderId="27" xfId="0" applyFont="1" applyFill="1" applyBorder="1" applyAlignment="1">
      <alignment horizontal="center" vertical="center" wrapText="1"/>
    </xf>
    <xf numFmtId="165" fontId="15" fillId="5" borderId="23" xfId="131" applyNumberFormat="1" applyFont="1" applyFill="1" applyBorder="1" applyAlignment="1" applyProtection="1">
      <alignment horizontal="center" vertical="center"/>
      <protection locked="0"/>
    </xf>
    <xf numFmtId="0" fontId="22" fillId="6" borderId="27" xfId="0" applyFont="1" applyFill="1" applyBorder="1" applyAlignment="1" applyProtection="1">
      <alignment horizontal="center" vertical="center" wrapText="1"/>
      <protection hidden="1"/>
    </xf>
    <xf numFmtId="0" fontId="22" fillId="6" borderId="51" xfId="0" applyFont="1" applyFill="1" applyBorder="1" applyAlignment="1" applyProtection="1">
      <alignment horizontal="center" vertical="center" wrapText="1"/>
      <protection hidden="1"/>
    </xf>
    <xf numFmtId="0" fontId="49" fillId="0" borderId="0" xfId="0" applyFont="1"/>
    <xf numFmtId="0" fontId="23" fillId="0" borderId="0" xfId="0" applyFont="1" applyProtection="1">
      <protection locked="0"/>
    </xf>
    <xf numFmtId="0" fontId="23" fillId="0" borderId="0" xfId="0" applyFont="1" applyAlignment="1" applyProtection="1">
      <alignment horizontal="center"/>
      <protection locked="0"/>
    </xf>
    <xf numFmtId="0" fontId="15" fillId="9" borderId="54"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34" xfId="0" applyFont="1" applyFill="1" applyBorder="1" applyAlignment="1">
      <alignment horizontal="center" vertical="center"/>
    </xf>
    <xf numFmtId="14" fontId="13" fillId="5" borderId="59" xfId="133" applyNumberFormat="1" applyFont="1" applyFill="1" applyBorder="1" applyAlignment="1">
      <alignment horizontal="center"/>
    </xf>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0" xfId="0" applyFont="1" applyAlignment="1">
      <alignment wrapText="1"/>
    </xf>
    <xf numFmtId="0" fontId="50" fillId="0" borderId="0" xfId="0" applyFont="1"/>
    <xf numFmtId="0" fontId="48" fillId="0" borderId="68" xfId="0" applyFont="1" applyBorder="1" applyAlignment="1">
      <alignment vertical="center" wrapText="1"/>
    </xf>
    <xf numFmtId="0" fontId="48" fillId="0" borderId="33" xfId="0" applyFont="1" applyBorder="1" applyAlignment="1">
      <alignment horizontal="left" vertical="center" wrapText="1"/>
    </xf>
    <xf numFmtId="0" fontId="48" fillId="7" borderId="27" xfId="0" applyFont="1" applyFill="1" applyBorder="1" applyAlignment="1">
      <alignment horizontal="left" vertical="center" wrapText="1"/>
    </xf>
    <xf numFmtId="0" fontId="48" fillId="0" borderId="1" xfId="0" applyFont="1" applyBorder="1" applyAlignment="1">
      <alignment horizontal="left" vertical="center" wrapText="1"/>
    </xf>
    <xf numFmtId="0" fontId="48" fillId="7" borderId="51" xfId="0" applyFont="1" applyFill="1" applyBorder="1" applyAlignment="1">
      <alignment vertical="center" wrapText="1"/>
    </xf>
    <xf numFmtId="0" fontId="48" fillId="0" borderId="49" xfId="0" applyFont="1" applyBorder="1" applyAlignment="1">
      <alignment vertical="center" wrapText="1"/>
    </xf>
    <xf numFmtId="0" fontId="48" fillId="0" borderId="10" xfId="0" applyFont="1" applyBorder="1" applyAlignment="1">
      <alignment horizontal="left" vertical="center" wrapText="1"/>
    </xf>
    <xf numFmtId="165" fontId="22" fillId="15" borderId="45" xfId="0" applyNumberFormat="1" applyFont="1" applyFill="1" applyBorder="1" applyAlignment="1">
      <alignment horizontal="center" vertical="center" wrapText="1"/>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6" fontId="24" fillId="13" borderId="1" xfId="0" applyNumberFormat="1" applyFont="1" applyFill="1" applyBorder="1" applyAlignment="1" applyProtection="1">
      <alignment horizontal="center" vertical="center" wrapText="1"/>
      <protection hidden="1"/>
    </xf>
    <xf numFmtId="6" fontId="24" fillId="13" borderId="45" xfId="0" applyNumberFormat="1" applyFont="1" applyFill="1" applyBorder="1" applyAlignment="1" applyProtection="1">
      <alignment horizontal="center" vertical="center" wrapText="1"/>
      <protection hidden="1"/>
    </xf>
    <xf numFmtId="0" fontId="25" fillId="9" borderId="28" xfId="0" applyFont="1" applyFill="1" applyBorder="1" applyAlignment="1">
      <alignment vertical="top"/>
    </xf>
    <xf numFmtId="0" fontId="25" fillId="9" borderId="54" xfId="0" applyFont="1" applyFill="1" applyBorder="1" applyAlignment="1">
      <alignment vertical="top"/>
    </xf>
    <xf numFmtId="0" fontId="25" fillId="9" borderId="29" xfId="0" applyFont="1" applyFill="1" applyBorder="1" applyAlignment="1">
      <alignment vertical="top"/>
    </xf>
    <xf numFmtId="0" fontId="52" fillId="13" borderId="54" xfId="0" applyFont="1" applyFill="1" applyBorder="1"/>
    <xf numFmtId="165" fontId="52" fillId="13" borderId="54" xfId="0" applyNumberFormat="1" applyFont="1" applyFill="1" applyBorder="1"/>
    <xf numFmtId="175" fontId="52" fillId="13" borderId="54" xfId="805" applyNumberFormat="1" applyFont="1" applyFill="1" applyBorder="1"/>
    <xf numFmtId="170" fontId="52" fillId="13" borderId="54" xfId="0" applyNumberFormat="1" applyFont="1" applyFill="1" applyBorder="1"/>
    <xf numFmtId="0" fontId="52" fillId="13" borderId="54" xfId="0" applyFont="1" applyFill="1" applyBorder="1" applyAlignment="1">
      <alignment wrapText="1"/>
    </xf>
    <xf numFmtId="165" fontId="52" fillId="13" borderId="29" xfId="0" applyNumberFormat="1" applyFont="1" applyFill="1" applyBorder="1"/>
    <xf numFmtId="0" fontId="41" fillId="0" borderId="29" xfId="0" applyFont="1" applyBorder="1" applyAlignment="1">
      <alignment vertical="center" wrapText="1"/>
    </xf>
    <xf numFmtId="0" fontId="41" fillId="0" borderId="27" xfId="0" applyFont="1" applyBorder="1" applyAlignment="1">
      <alignment horizontal="center" vertical="center"/>
    </xf>
    <xf numFmtId="0" fontId="41" fillId="0" borderId="27" xfId="0" applyFont="1" applyBorder="1" applyAlignment="1">
      <alignment vertical="center" wrapText="1"/>
    </xf>
    <xf numFmtId="0" fontId="25" fillId="9" borderId="54" xfId="0" applyFont="1" applyFill="1" applyBorder="1" applyAlignment="1">
      <alignment vertical="center"/>
    </xf>
    <xf numFmtId="0" fontId="25" fillId="0" borderId="27" xfId="0" applyFont="1" applyBorder="1" applyAlignment="1">
      <alignment horizontal="center" vertical="center"/>
    </xf>
    <xf numFmtId="0" fontId="24" fillId="8" borderId="24" xfId="0" applyFont="1" applyFill="1" applyBorder="1"/>
    <xf numFmtId="0" fontId="53" fillId="8" borderId="48" xfId="0" applyFont="1" applyFill="1" applyBorder="1"/>
    <xf numFmtId="0" fontId="53" fillId="8" borderId="25" xfId="0" applyFont="1" applyFill="1" applyBorder="1"/>
    <xf numFmtId="0" fontId="20" fillId="0" borderId="18" xfId="0" applyFont="1" applyBorder="1" applyAlignment="1">
      <alignment horizontal="center" vertical="center" wrapText="1"/>
    </xf>
    <xf numFmtId="0" fontId="41" fillId="0" borderId="29" xfId="0" applyFont="1" applyBorder="1" applyAlignment="1">
      <alignment horizontal="center" vertical="center"/>
    </xf>
    <xf numFmtId="0" fontId="20" fillId="0" borderId="17" xfId="0" applyFont="1" applyBorder="1" applyAlignment="1">
      <alignment horizontal="center" vertical="center" wrapText="1"/>
    </xf>
    <xf numFmtId="10" fontId="15" fillId="8" borderId="54" xfId="805" applyNumberFormat="1" applyFont="1" applyFill="1" applyBorder="1" applyAlignment="1">
      <alignment horizontal="center" vertical="center" wrapText="1"/>
    </xf>
    <xf numFmtId="165" fontId="55" fillId="6" borderId="27" xfId="0" applyNumberFormat="1" applyFont="1" applyFill="1" applyBorder="1" applyAlignment="1">
      <alignment horizontal="center" vertical="center" wrapText="1"/>
    </xf>
    <xf numFmtId="165" fontId="27" fillId="13" borderId="29" xfId="0" applyNumberFormat="1" applyFont="1" applyFill="1" applyBorder="1" applyAlignment="1">
      <alignment horizontal="center" vertical="center" wrapText="1"/>
    </xf>
    <xf numFmtId="165" fontId="55" fillId="13" borderId="27" xfId="0" applyNumberFormat="1" applyFont="1" applyFill="1" applyBorder="1" applyAlignment="1">
      <alignment horizontal="center" vertical="center" wrapText="1"/>
    </xf>
    <xf numFmtId="165" fontId="27" fillId="13" borderId="28" xfId="0" applyNumberFormat="1" applyFont="1" applyFill="1" applyBorder="1" applyAlignment="1">
      <alignment horizontal="center" vertical="center" wrapText="1"/>
    </xf>
    <xf numFmtId="170" fontId="0" fillId="0" borderId="0" xfId="7" applyNumberFormat="1" applyFont="1"/>
    <xf numFmtId="0" fontId="57" fillId="0" borderId="27" xfId="0" applyFont="1" applyBorder="1" applyAlignment="1">
      <alignment vertical="center" wrapText="1"/>
    </xf>
    <xf numFmtId="0" fontId="57" fillId="0" borderId="29" xfId="0" applyFont="1" applyBorder="1" applyAlignment="1">
      <alignment vertical="center" wrapText="1"/>
    </xf>
    <xf numFmtId="175" fontId="27" fillId="6" borderId="29" xfId="7" applyNumberFormat="1" applyFont="1" applyFill="1" applyBorder="1" applyAlignment="1">
      <alignment horizontal="center" vertical="center" wrapText="1"/>
    </xf>
    <xf numFmtId="172" fontId="27" fillId="13" borderId="27" xfId="0" applyNumberFormat="1" applyFont="1" applyFill="1" applyBorder="1" applyAlignment="1">
      <alignment horizontal="center" vertical="center"/>
    </xf>
    <xf numFmtId="0" fontId="60" fillId="0" borderId="0" xfId="0" applyFont="1"/>
    <xf numFmtId="0" fontId="50" fillId="16" borderId="24" xfId="0" applyFont="1" applyFill="1" applyBorder="1" applyAlignment="1">
      <alignment horizontal="center" vertical="center"/>
    </xf>
    <xf numFmtId="165" fontId="52" fillId="13" borderId="54" xfId="0" applyNumberFormat="1" applyFont="1" applyFill="1" applyBorder="1" applyAlignment="1">
      <alignment wrapText="1"/>
    </xf>
    <xf numFmtId="5" fontId="61" fillId="9" borderId="64" xfId="131" applyNumberFormat="1" applyFont="1" applyFill="1" applyBorder="1" applyAlignment="1">
      <alignment horizontal="center" vertical="center" wrapText="1"/>
    </xf>
    <xf numFmtId="5" fontId="61" fillId="9" borderId="3" xfId="131" applyNumberFormat="1" applyFont="1" applyFill="1" applyBorder="1" applyAlignment="1">
      <alignment horizontal="center" vertical="center" wrapText="1"/>
    </xf>
    <xf numFmtId="0" fontId="62" fillId="17" borderId="30" xfId="0" applyFont="1" applyFill="1" applyBorder="1" applyAlignment="1">
      <alignment horizontal="left" vertical="center"/>
    </xf>
    <xf numFmtId="0" fontId="59" fillId="0" borderId="29" xfId="0" applyFont="1" applyBorder="1" applyAlignment="1">
      <alignment vertical="center" wrapText="1"/>
    </xf>
    <xf numFmtId="0" fontId="59" fillId="0" borderId="27" xfId="0" applyFont="1" applyBorder="1" applyAlignment="1">
      <alignment vertical="center" wrapText="1"/>
    </xf>
    <xf numFmtId="0" fontId="54" fillId="0" borderId="29" xfId="0" applyFont="1" applyBorder="1" applyAlignment="1">
      <alignment vertical="center" wrapText="1"/>
    </xf>
    <xf numFmtId="10" fontId="55" fillId="18" borderId="28" xfId="0" applyNumberFormat="1" applyFont="1" applyFill="1" applyBorder="1" applyAlignment="1" applyProtection="1">
      <alignment horizontal="center" vertical="center" wrapText="1"/>
      <protection locked="0"/>
    </xf>
    <xf numFmtId="10" fontId="55" fillId="18" borderId="54" xfId="0" applyNumberFormat="1" applyFont="1" applyFill="1" applyBorder="1" applyAlignment="1" applyProtection="1">
      <alignment horizontal="center" vertical="center" wrapText="1"/>
      <protection locked="0"/>
    </xf>
    <xf numFmtId="10" fontId="55" fillId="18" borderId="29" xfId="0" applyNumberFormat="1" applyFont="1" applyFill="1" applyBorder="1" applyAlignment="1" applyProtection="1">
      <alignment horizontal="center" vertical="center" wrapText="1"/>
      <protection locked="0"/>
    </xf>
    <xf numFmtId="10" fontId="55" fillId="18" borderId="28" xfId="0" applyNumberFormat="1" applyFont="1" applyFill="1" applyBorder="1" applyAlignment="1">
      <alignment horizontal="center" vertical="center" wrapText="1"/>
    </xf>
    <xf numFmtId="10" fontId="55" fillId="18" borderId="54" xfId="0" applyNumberFormat="1" applyFont="1" applyFill="1" applyBorder="1" applyAlignment="1">
      <alignment horizontal="center" vertical="center" wrapText="1"/>
    </xf>
    <xf numFmtId="10" fontId="55" fillId="18" borderId="29" xfId="0" applyNumberFormat="1" applyFont="1" applyFill="1" applyBorder="1" applyAlignment="1">
      <alignment horizontal="center" vertical="center" wrapText="1"/>
    </xf>
    <xf numFmtId="3" fontId="22" fillId="6" borderId="36" xfId="0" applyNumberFormat="1" applyFont="1" applyFill="1" applyBorder="1" applyAlignment="1">
      <alignment horizontal="center" vertical="center" wrapText="1"/>
    </xf>
    <xf numFmtId="165" fontId="25" fillId="13" borderId="27" xfId="0" applyNumberFormat="1" applyFont="1" applyFill="1" applyBorder="1" applyAlignment="1" applyProtection="1">
      <alignment horizontal="center" vertical="center" wrapText="1"/>
      <protection hidden="1"/>
    </xf>
    <xf numFmtId="165" fontId="24" fillId="13" borderId="62" xfId="0" applyNumberFormat="1" applyFont="1" applyFill="1" applyBorder="1" applyAlignment="1" applyProtection="1">
      <alignment horizontal="center" vertical="center" wrapText="1"/>
      <protection hidden="1"/>
    </xf>
    <xf numFmtId="165" fontId="21" fillId="6" borderId="9" xfId="0" applyNumberFormat="1" applyFont="1" applyFill="1" applyBorder="1" applyAlignment="1" applyProtection="1">
      <alignment horizontal="center" vertical="center" wrapText="1"/>
      <protection hidden="1"/>
    </xf>
    <xf numFmtId="165" fontId="22" fillId="8" borderId="22" xfId="0" applyNumberFormat="1" applyFont="1" applyFill="1" applyBorder="1" applyAlignment="1">
      <alignment horizontal="right" vertical="center" wrapText="1"/>
    </xf>
    <xf numFmtId="165" fontId="22" fillId="8" borderId="52" xfId="0" applyNumberFormat="1" applyFont="1" applyFill="1" applyBorder="1" applyAlignment="1">
      <alignment horizontal="right" vertical="center" wrapText="1"/>
    </xf>
    <xf numFmtId="165" fontId="23" fillId="8" borderId="53" xfId="0" applyNumberFormat="1" applyFont="1" applyFill="1" applyBorder="1"/>
    <xf numFmtId="172" fontId="22" fillId="6" borderId="9" xfId="0" applyNumberFormat="1" applyFont="1" applyFill="1" applyBorder="1" applyAlignment="1" applyProtection="1">
      <alignment horizontal="center" vertical="center" wrapText="1"/>
      <protection hidden="1"/>
    </xf>
    <xf numFmtId="173" fontId="22" fillId="5" borderId="31" xfId="0" applyNumberFormat="1" applyFont="1" applyFill="1" applyBorder="1" applyAlignment="1" applyProtection="1">
      <alignment horizontal="center" vertical="center" wrapText="1"/>
      <protection locked="0"/>
    </xf>
    <xf numFmtId="0" fontId="22" fillId="5" borderId="12" xfId="0" applyFont="1" applyFill="1" applyBorder="1" applyAlignment="1" applyProtection="1">
      <alignment horizontal="center" vertical="center" wrapText="1"/>
      <protection locked="0"/>
    </xf>
    <xf numFmtId="0" fontId="22" fillId="5" borderId="44" xfId="0" applyFont="1" applyFill="1" applyBorder="1" applyAlignment="1" applyProtection="1">
      <alignment horizontal="center" vertical="center" wrapText="1"/>
      <protection locked="0"/>
    </xf>
    <xf numFmtId="49" fontId="22" fillId="5" borderId="31" xfId="0" applyNumberFormat="1" applyFont="1" applyFill="1" applyBorder="1" applyAlignment="1" applyProtection="1">
      <alignment horizontal="center" vertical="center" wrapText="1"/>
      <protection locked="0"/>
    </xf>
    <xf numFmtId="0" fontId="22" fillId="5" borderId="53" xfId="0" applyFont="1" applyFill="1" applyBorder="1" applyAlignment="1" applyProtection="1">
      <alignment horizontal="center" vertical="center" wrapText="1"/>
      <protection locked="0"/>
    </xf>
    <xf numFmtId="3" fontId="22" fillId="5" borderId="18" xfId="950" applyNumberFormat="1" applyFont="1" applyFill="1" applyBorder="1" applyAlignment="1" applyProtection="1">
      <alignment horizontal="center" vertical="center" wrapText="1"/>
      <protection locked="0"/>
    </xf>
    <xf numFmtId="0" fontId="22" fillId="5" borderId="31" xfId="0" applyFont="1" applyFill="1" applyBorder="1" applyAlignment="1" applyProtection="1">
      <alignment horizontal="center" vertical="center" wrapText="1"/>
      <protection locked="0"/>
    </xf>
    <xf numFmtId="10" fontId="22" fillId="14" borderId="32" xfId="0" applyNumberFormat="1" applyFont="1" applyFill="1" applyBorder="1" applyAlignment="1" applyProtection="1">
      <alignment horizontal="center" vertical="center" wrapText="1"/>
      <protection locked="0"/>
    </xf>
    <xf numFmtId="0" fontId="22" fillId="5" borderId="27" xfId="0" applyFont="1" applyFill="1" applyBorder="1" applyAlignment="1" applyProtection="1">
      <alignment horizontal="center" vertical="center" wrapText="1"/>
      <protection locked="0"/>
    </xf>
    <xf numFmtId="6" fontId="22" fillId="5" borderId="45" xfId="0" applyNumberFormat="1" applyFont="1" applyFill="1" applyBorder="1" applyAlignment="1" applyProtection="1">
      <alignment horizontal="center" vertical="center" wrapText="1"/>
      <protection locked="0"/>
    </xf>
    <xf numFmtId="10" fontId="15" fillId="5" borderId="27" xfId="0" applyNumberFormat="1" applyFont="1" applyFill="1" applyBorder="1" applyAlignment="1" applyProtection="1">
      <alignment horizontal="center" vertical="center"/>
      <protection locked="0"/>
    </xf>
    <xf numFmtId="6" fontId="22" fillId="5" borderId="9" xfId="0" applyNumberFormat="1" applyFont="1" applyFill="1" applyBorder="1" applyAlignment="1" applyProtection="1">
      <alignment horizontal="center" vertical="center" wrapText="1"/>
      <protection locked="0"/>
    </xf>
    <xf numFmtId="0" fontId="22" fillId="5" borderId="9" xfId="0" applyFont="1" applyFill="1" applyBorder="1" applyAlignment="1" applyProtection="1">
      <alignment horizontal="center" vertical="center" wrapText="1"/>
      <protection locked="0"/>
    </xf>
    <xf numFmtId="10" fontId="22" fillId="5" borderId="9" xfId="0" applyNumberFormat="1"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165" fontId="55" fillId="5" borderId="27" xfId="0" applyNumberFormat="1" applyFont="1" applyFill="1" applyBorder="1" applyAlignment="1" applyProtection="1">
      <alignment horizontal="center" vertical="center" wrapText="1"/>
      <protection locked="0"/>
    </xf>
    <xf numFmtId="10" fontId="15" fillId="5" borderId="27" xfId="0" applyNumberFormat="1" applyFont="1" applyFill="1" applyBorder="1" applyAlignment="1" applyProtection="1">
      <alignment horizontal="center"/>
      <protection locked="0"/>
    </xf>
    <xf numFmtId="0" fontId="22" fillId="5" borderId="13" xfId="0" applyFont="1" applyFill="1" applyBorder="1" applyAlignment="1" applyProtection="1">
      <alignment horizontal="center" vertical="center" wrapText="1"/>
      <protection locked="0"/>
    </xf>
    <xf numFmtId="165" fontId="22" fillId="5" borderId="9" xfId="0" applyNumberFormat="1" applyFont="1" applyFill="1" applyBorder="1" applyAlignment="1" applyProtection="1">
      <alignment horizontal="center" vertical="center" wrapText="1"/>
      <protection locked="0"/>
    </xf>
    <xf numFmtId="3" fontId="22" fillId="5" borderId="9" xfId="0" applyNumberFormat="1" applyFont="1" applyFill="1" applyBorder="1" applyAlignment="1" applyProtection="1">
      <alignment horizontal="center" vertical="center" wrapText="1"/>
      <protection locked="0"/>
    </xf>
    <xf numFmtId="165" fontId="22" fillId="5" borderId="13" xfId="0" applyNumberFormat="1" applyFont="1" applyFill="1" applyBorder="1" applyAlignment="1" applyProtection="1">
      <alignment horizontal="center" vertical="center" wrapText="1"/>
      <protection locked="0"/>
    </xf>
    <xf numFmtId="165" fontId="22" fillId="5" borderId="9" xfId="950" applyNumberFormat="1" applyFont="1" applyFill="1" applyBorder="1" applyAlignment="1" applyProtection="1">
      <alignment horizontal="center" vertical="center" wrapText="1"/>
      <protection locked="0"/>
    </xf>
    <xf numFmtId="37" fontId="22" fillId="5" borderId="9" xfId="950" applyNumberFormat="1" applyFont="1" applyFill="1" applyBorder="1" applyAlignment="1" applyProtection="1">
      <alignment horizontal="center" vertical="center" wrapText="1"/>
      <protection locked="0"/>
    </xf>
    <xf numFmtId="0" fontId="64" fillId="0" borderId="0" xfId="0" applyFont="1"/>
    <xf numFmtId="174" fontId="22" fillId="6" borderId="30" xfId="0" applyNumberFormat="1" applyFont="1" applyFill="1" applyBorder="1" applyAlignment="1">
      <alignment horizontal="center" vertical="center" wrapText="1"/>
    </xf>
    <xf numFmtId="175" fontId="55" fillId="5" borderId="27" xfId="959" applyNumberFormat="1" applyFont="1" applyFill="1" applyBorder="1" applyAlignment="1" applyProtection="1">
      <alignment horizontal="center" vertical="center" wrapText="1"/>
      <protection locked="0"/>
    </xf>
    <xf numFmtId="175" fontId="55" fillId="5" borderId="29" xfId="959" applyNumberFormat="1" applyFont="1" applyFill="1" applyBorder="1" applyAlignment="1" applyProtection="1">
      <alignment horizontal="center" vertical="center" wrapText="1"/>
      <protection locked="0"/>
    </xf>
    <xf numFmtId="3" fontId="22" fillId="5" borderId="9" xfId="950" applyNumberFormat="1" applyFont="1" applyFill="1" applyBorder="1" applyAlignment="1" applyProtection="1">
      <alignment horizontal="center" vertical="center" wrapText="1"/>
      <protection locked="0"/>
    </xf>
    <xf numFmtId="169" fontId="22" fillId="5" borderId="9" xfId="950" applyNumberFormat="1" applyFont="1" applyFill="1" applyBorder="1" applyAlignment="1" applyProtection="1">
      <alignment horizontal="center" vertical="center" wrapText="1"/>
      <protection locked="0"/>
    </xf>
    <xf numFmtId="165" fontId="0" fillId="0" borderId="0" xfId="0" applyNumberFormat="1"/>
    <xf numFmtId="2" fontId="12" fillId="0" borderId="0" xfId="133" applyNumberFormat="1" applyFont="1"/>
    <xf numFmtId="165" fontId="33" fillId="0" borderId="0" xfId="133" applyNumberFormat="1" applyFont="1"/>
    <xf numFmtId="1" fontId="22" fillId="6" borderId="31" xfId="0" applyNumberFormat="1" applyFont="1" applyFill="1" applyBorder="1" applyAlignment="1" applyProtection="1">
      <alignment horizontal="center" vertical="center" wrapText="1"/>
      <protection hidden="1"/>
    </xf>
    <xf numFmtId="0" fontId="61" fillId="6" borderId="16" xfId="0" applyFont="1" applyFill="1" applyBorder="1" applyAlignment="1" applyProtection="1">
      <alignment vertical="center" wrapText="1"/>
      <protection hidden="1"/>
    </xf>
    <xf numFmtId="0" fontId="61" fillId="6" borderId="18" xfId="0" applyFont="1" applyFill="1" applyBorder="1" applyAlignment="1" applyProtection="1">
      <alignment vertical="center" wrapText="1"/>
      <protection hidden="1"/>
    </xf>
    <xf numFmtId="0" fontId="61" fillId="6" borderId="21" xfId="0" applyFont="1" applyFill="1" applyBorder="1" applyAlignment="1" applyProtection="1">
      <alignment vertical="center" wrapText="1"/>
      <protection hidden="1"/>
    </xf>
    <xf numFmtId="0" fontId="61" fillId="6" borderId="23" xfId="0" applyFont="1" applyFill="1" applyBorder="1" applyAlignment="1" applyProtection="1">
      <alignment vertical="center" wrapText="1"/>
      <protection hidden="1"/>
    </xf>
    <xf numFmtId="0" fontId="0" fillId="0" borderId="23" xfId="0" applyBorder="1" applyAlignment="1">
      <alignment horizontal="center" vertical="center" wrapText="1"/>
    </xf>
    <xf numFmtId="0" fontId="24" fillId="0" borderId="27" xfId="0" applyFont="1" applyBorder="1" applyAlignment="1">
      <alignment horizontal="center" vertical="center" wrapText="1"/>
    </xf>
    <xf numFmtId="0" fontId="22" fillId="19" borderId="25" xfId="0" applyFont="1" applyFill="1" applyBorder="1" applyAlignment="1" applyProtection="1">
      <alignment horizontal="center" vertical="center" wrapText="1"/>
      <protection locked="0"/>
    </xf>
    <xf numFmtId="0" fontId="65" fillId="0" borderId="0" xfId="0" applyFont="1" applyAlignment="1">
      <alignment vertical="center"/>
    </xf>
    <xf numFmtId="3" fontId="21" fillId="6" borderId="9" xfId="131" applyNumberFormat="1" applyFont="1" applyFill="1" applyBorder="1" applyAlignment="1">
      <alignment horizontal="center" vertical="center" wrapText="1"/>
    </xf>
    <xf numFmtId="176" fontId="22" fillId="6" borderId="27" xfId="0" applyNumberFormat="1" applyFont="1" applyFill="1" applyBorder="1" applyAlignment="1" applyProtection="1">
      <alignment horizontal="center" vertical="center" wrapText="1"/>
      <protection hidden="1"/>
    </xf>
    <xf numFmtId="0" fontId="68" fillId="0" borderId="26" xfId="0" applyFont="1" applyBorder="1" applyAlignment="1">
      <alignment vertical="center" wrapText="1"/>
    </xf>
    <xf numFmtId="0" fontId="70" fillId="0" borderId="26" xfId="0" applyFont="1" applyBorder="1"/>
    <xf numFmtId="0" fontId="71" fillId="0" borderId="26" xfId="0" applyFont="1" applyBorder="1" applyAlignment="1">
      <alignment vertical="center" wrapText="1"/>
    </xf>
    <xf numFmtId="0" fontId="24" fillId="10" borderId="27" xfId="0" applyFont="1" applyFill="1" applyBorder="1" applyAlignment="1">
      <alignment horizontal="center" vertical="center" wrapText="1"/>
    </xf>
    <xf numFmtId="0" fontId="26" fillId="10" borderId="24" xfId="0" applyFont="1" applyFill="1" applyBorder="1" applyAlignment="1">
      <alignment horizontal="left" vertical="center"/>
    </xf>
    <xf numFmtId="6" fontId="24" fillId="13" borderId="27" xfId="0" applyNumberFormat="1" applyFont="1" applyFill="1" applyBorder="1" applyAlignment="1" applyProtection="1">
      <alignment horizontal="center" vertical="center" wrapText="1"/>
      <protection hidden="1"/>
    </xf>
    <xf numFmtId="0" fontId="33" fillId="0" borderId="0" xfId="951" applyFont="1"/>
    <xf numFmtId="0" fontId="12" fillId="0" borderId="0" xfId="951" applyFont="1"/>
    <xf numFmtId="0" fontId="33" fillId="0" borderId="55" xfId="951" applyFont="1" applyBorder="1" applyAlignment="1">
      <alignment horizontal="left"/>
    </xf>
    <xf numFmtId="0" fontId="13" fillId="0" borderId="0" xfId="951" applyFont="1" applyAlignment="1">
      <alignment horizontal="left"/>
    </xf>
    <xf numFmtId="0" fontId="13" fillId="0" borderId="0" xfId="951" applyFont="1" applyAlignment="1">
      <alignment horizontal="right"/>
    </xf>
    <xf numFmtId="44" fontId="12" fillId="0" borderId="0" xfId="951" applyNumberFormat="1" applyFont="1"/>
    <xf numFmtId="6" fontId="13" fillId="6" borderId="57" xfId="951" applyNumberFormat="1" applyFont="1" applyFill="1" applyBorder="1" applyAlignment="1">
      <alignment horizontal="center"/>
    </xf>
    <xf numFmtId="170" fontId="13" fillId="6" borderId="58" xfId="951" applyNumberFormat="1" applyFont="1" applyFill="1" applyBorder="1" applyAlignment="1">
      <alignment horizontal="center"/>
    </xf>
    <xf numFmtId="172" fontId="12" fillId="0" borderId="0" xfId="951" applyNumberFormat="1" applyFont="1"/>
    <xf numFmtId="1" fontId="13" fillId="6" borderId="58" xfId="951" applyNumberFormat="1" applyFont="1" applyFill="1" applyBorder="1" applyAlignment="1">
      <alignment horizontal="center"/>
    </xf>
    <xf numFmtId="14" fontId="12" fillId="0" borderId="0" xfId="951" applyNumberFormat="1" applyFont="1"/>
    <xf numFmtId="8" fontId="12" fillId="0" borderId="0" xfId="951" applyNumberFormat="1" applyFont="1"/>
    <xf numFmtId="14" fontId="13" fillId="5" borderId="59" xfId="951" applyNumberFormat="1" applyFont="1" applyFill="1" applyBorder="1" applyAlignment="1">
      <alignment horizontal="center"/>
    </xf>
    <xf numFmtId="0" fontId="13" fillId="0" borderId="55" xfId="951" applyFont="1" applyBorder="1" applyAlignment="1">
      <alignment horizontal="left"/>
    </xf>
    <xf numFmtId="14" fontId="13" fillId="0" borderId="55" xfId="951" applyNumberFormat="1" applyFont="1" applyBorder="1" applyAlignment="1">
      <alignment horizontal="left"/>
    </xf>
    <xf numFmtId="1" fontId="13" fillId="6" borderId="27" xfId="951" applyNumberFormat="1" applyFont="1" applyFill="1" applyBorder="1" applyAlignment="1">
      <alignment horizontal="center"/>
    </xf>
    <xf numFmtId="9" fontId="39" fillId="0" borderId="0" xfId="1029" applyFont="1"/>
    <xf numFmtId="44" fontId="13" fillId="6" borderId="58" xfId="952" applyFont="1" applyFill="1" applyBorder="1" applyAlignment="1">
      <alignment horizontal="center"/>
    </xf>
    <xf numFmtId="8" fontId="13" fillId="0" borderId="0" xfId="951" applyNumberFormat="1" applyFont="1" applyAlignment="1">
      <alignment horizontal="left"/>
    </xf>
    <xf numFmtId="44" fontId="13" fillId="6" borderId="63" xfId="952" applyFont="1" applyFill="1" applyBorder="1" applyAlignment="1">
      <alignment horizontal="center"/>
    </xf>
    <xf numFmtId="172" fontId="13" fillId="6" borderId="29" xfId="951" applyNumberFormat="1" applyFont="1" applyFill="1" applyBorder="1" applyAlignment="1">
      <alignment horizontal="center"/>
    </xf>
    <xf numFmtId="44" fontId="13" fillId="0" borderId="0" xfId="951" applyNumberFormat="1" applyFont="1" applyAlignment="1">
      <alignment horizontal="left"/>
    </xf>
    <xf numFmtId="0" fontId="13" fillId="0" borderId="55" xfId="951" applyFont="1" applyBorder="1" applyAlignment="1">
      <alignment horizontal="right" wrapText="1"/>
    </xf>
    <xf numFmtId="0" fontId="13" fillId="0" borderId="56" xfId="951" applyFont="1" applyBorder="1" applyAlignment="1">
      <alignment horizontal="center" wrapText="1"/>
    </xf>
    <xf numFmtId="172" fontId="33" fillId="0" borderId="0" xfId="951" applyNumberFormat="1" applyFont="1" applyAlignment="1">
      <alignment horizontal="center"/>
    </xf>
    <xf numFmtId="0" fontId="33" fillId="0" borderId="0" xfId="951" applyFont="1" applyAlignment="1">
      <alignment wrapText="1"/>
    </xf>
    <xf numFmtId="0" fontId="12" fillId="0" borderId="26" xfId="951" applyFont="1" applyBorder="1" applyAlignment="1">
      <alignment horizontal="center" wrapText="1"/>
    </xf>
    <xf numFmtId="0" fontId="12" fillId="0" borderId="26" xfId="951" applyFont="1" applyBorder="1" applyAlignment="1">
      <alignment wrapText="1"/>
    </xf>
    <xf numFmtId="0" fontId="12" fillId="0" borderId="0" xfId="951" applyFont="1" applyAlignment="1">
      <alignment wrapText="1"/>
    </xf>
    <xf numFmtId="0" fontId="12" fillId="0" borderId="0" xfId="951" applyFont="1" applyAlignment="1">
      <alignment horizontal="center"/>
    </xf>
    <xf numFmtId="172" fontId="12" fillId="0" borderId="0" xfId="951" applyNumberFormat="1" applyFont="1" applyAlignment="1">
      <alignment horizontal="center"/>
    </xf>
    <xf numFmtId="172" fontId="33" fillId="0" borderId="0" xfId="951" applyNumberFormat="1" applyFont="1"/>
    <xf numFmtId="0" fontId="12" fillId="0" borderId="26" xfId="951" applyFont="1" applyBorder="1" applyAlignment="1">
      <alignment horizontal="center"/>
    </xf>
    <xf numFmtId="172" fontId="12" fillId="0" borderId="26" xfId="951" applyNumberFormat="1" applyFont="1" applyBorder="1" applyAlignment="1">
      <alignment horizontal="center"/>
    </xf>
    <xf numFmtId="14" fontId="12" fillId="0" borderId="0" xfId="951" applyNumberFormat="1" applyFont="1" applyAlignment="1">
      <alignment horizontal="center"/>
    </xf>
    <xf numFmtId="0" fontId="33" fillId="0" borderId="0" xfId="951" applyFont="1" applyAlignment="1">
      <alignment horizontal="center"/>
    </xf>
    <xf numFmtId="2" fontId="13" fillId="6" borderId="27" xfId="951" applyNumberFormat="1" applyFont="1" applyFill="1" applyBorder="1" applyAlignment="1">
      <alignment horizontal="center"/>
    </xf>
    <xf numFmtId="172" fontId="39" fillId="5" borderId="0" xfId="951" applyNumberFormat="1" applyFont="1" applyFill="1" applyAlignment="1">
      <alignment horizontal="center"/>
    </xf>
    <xf numFmtId="0" fontId="22" fillId="5" borderId="4" xfId="0" applyFont="1" applyFill="1" applyBorder="1" applyAlignment="1" applyProtection="1">
      <alignment horizontal="center" vertical="center" wrapText="1"/>
      <protection locked="0"/>
    </xf>
    <xf numFmtId="0" fontId="22" fillId="5" borderId="30" xfId="0" applyFont="1" applyFill="1" applyBorder="1" applyAlignment="1" applyProtection="1">
      <alignment horizontal="center" vertical="center" wrapText="1"/>
      <protection locked="0"/>
    </xf>
    <xf numFmtId="0" fontId="22" fillId="5" borderId="32" xfId="0" applyFont="1" applyFill="1" applyBorder="1" applyAlignment="1" applyProtection="1">
      <alignment horizontal="center" vertical="center" wrapText="1"/>
      <protection locked="0"/>
    </xf>
    <xf numFmtId="0" fontId="72" fillId="0" borderId="0" xfId="0" applyFont="1" applyAlignment="1">
      <alignment wrapText="1"/>
    </xf>
    <xf numFmtId="0" fontId="6" fillId="0" borderId="0" xfId="1089"/>
    <xf numFmtId="0" fontId="67" fillId="0" borderId="26" xfId="0" applyFont="1" applyBorder="1" applyAlignment="1">
      <alignment vertical="center" wrapText="1"/>
    </xf>
    <xf numFmtId="0" fontId="15" fillId="0" borderId="26" xfId="0" applyFont="1" applyBorder="1"/>
    <xf numFmtId="0" fontId="15" fillId="0" borderId="26" xfId="0" applyFont="1" applyBorder="1" applyAlignment="1">
      <alignment vertical="center" wrapText="1"/>
    </xf>
    <xf numFmtId="2" fontId="15" fillId="0" borderId="0" xfId="0" applyNumberFormat="1" applyFont="1"/>
    <xf numFmtId="0" fontId="22" fillId="0" borderId="0" xfId="0" applyFont="1" applyAlignment="1">
      <alignment horizontal="left"/>
    </xf>
    <xf numFmtId="49" fontId="22" fillId="0" borderId="0" xfId="0" applyNumberFormat="1" applyFont="1" applyAlignment="1">
      <alignment horizontal="left"/>
    </xf>
    <xf numFmtId="0" fontId="18" fillId="0" borderId="27" xfId="0" applyFont="1" applyBorder="1" applyAlignment="1">
      <alignment horizontal="center" wrapText="1"/>
    </xf>
    <xf numFmtId="0" fontId="23" fillId="0" borderId="26" xfId="0" applyFont="1" applyBorder="1" applyAlignment="1" applyProtection="1">
      <alignment horizontal="left" vertical="center" wrapText="1"/>
      <protection locked="0"/>
    </xf>
    <xf numFmtId="0" fontId="67" fillId="0" borderId="26" xfId="0" applyFont="1" applyBorder="1" applyAlignment="1" applyProtection="1">
      <alignment horizontal="left" vertical="center" wrapText="1"/>
      <protection locked="0"/>
    </xf>
    <xf numFmtId="0" fontId="23" fillId="9" borderId="22" xfId="0" applyFont="1" applyFill="1" applyBorder="1"/>
    <xf numFmtId="0" fontId="22" fillId="9" borderId="22" xfId="0" applyFont="1" applyFill="1" applyBorder="1" applyAlignment="1">
      <alignment horizontal="left" vertical="center" wrapText="1"/>
    </xf>
    <xf numFmtId="6" fontId="22" fillId="9" borderId="22" xfId="0" applyNumberFormat="1" applyFont="1" applyFill="1" applyBorder="1" applyAlignment="1">
      <alignment horizontal="right" vertical="center" wrapText="1"/>
    </xf>
    <xf numFmtId="0" fontId="23" fillId="9" borderId="23" xfId="0" applyFont="1" applyFill="1" applyBorder="1"/>
    <xf numFmtId="0" fontId="67" fillId="0" borderId="26" xfId="0" applyFont="1" applyBorder="1"/>
    <xf numFmtId="0" fontId="67" fillId="0" borderId="26" xfId="0" applyFont="1" applyBorder="1" applyAlignment="1">
      <alignment wrapText="1"/>
    </xf>
    <xf numFmtId="0" fontId="6" fillId="0" borderId="26" xfId="1089" applyBorder="1"/>
    <xf numFmtId="0" fontId="6" fillId="0" borderId="26" xfId="1089" applyBorder="1" applyAlignment="1" applyProtection="1">
      <alignment horizontal="left" vertical="center" wrapText="1"/>
      <protection locked="0"/>
    </xf>
    <xf numFmtId="0" fontId="67" fillId="0" borderId="71" xfId="0" applyFont="1" applyBorder="1" applyAlignment="1">
      <alignment vertical="center" wrapText="1"/>
    </xf>
    <xf numFmtId="0" fontId="68" fillId="0" borderId="71" xfId="0" applyFont="1" applyBorder="1" applyAlignment="1">
      <alignment vertical="center" wrapText="1"/>
    </xf>
    <xf numFmtId="168" fontId="34" fillId="9" borderId="17" xfId="1029" applyNumberFormat="1" applyFont="1" applyFill="1" applyBorder="1" applyAlignment="1">
      <alignment horizontal="center" vertical="center"/>
    </xf>
    <xf numFmtId="9" fontId="15" fillId="0" borderId="0" xfId="1029" applyFont="1"/>
    <xf numFmtId="0" fontId="24" fillId="0" borderId="24" xfId="0" applyFont="1" applyBorder="1" applyAlignment="1">
      <alignment horizontal="center" vertical="center" wrapText="1"/>
    </xf>
    <xf numFmtId="0" fontId="48" fillId="0" borderId="24" xfId="0" applyFont="1" applyBorder="1" applyAlignment="1">
      <alignment horizontal="center" vertical="center" wrapText="1"/>
    </xf>
    <xf numFmtId="6" fontId="41" fillId="14" borderId="27" xfId="0" applyNumberFormat="1" applyFont="1" applyFill="1" applyBorder="1" applyAlignment="1" applyProtection="1">
      <alignment horizontal="center" vertical="center" wrapText="1"/>
      <protection locked="0"/>
    </xf>
    <xf numFmtId="8" fontId="15" fillId="0" borderId="0" xfId="1030" applyNumberFormat="1" applyFont="1"/>
    <xf numFmtId="165" fontId="24" fillId="13" borderId="28" xfId="0" applyNumberFormat="1" applyFont="1" applyFill="1" applyBorder="1" applyAlignment="1" applyProtection="1">
      <alignment horizontal="center" vertical="center" wrapText="1"/>
      <protection hidden="1"/>
    </xf>
    <xf numFmtId="6" fontId="24" fillId="13" borderId="8" xfId="0" applyNumberFormat="1" applyFont="1" applyFill="1" applyBorder="1" applyAlignment="1" applyProtection="1">
      <alignment horizontal="center" vertical="center" wrapText="1"/>
      <protection hidden="1"/>
    </xf>
    <xf numFmtId="10" fontId="15" fillId="5" borderId="26" xfId="0" applyNumberFormat="1" applyFont="1" applyFill="1" applyBorder="1" applyAlignment="1" applyProtection="1">
      <alignment horizontal="center"/>
      <protection locked="0"/>
    </xf>
    <xf numFmtId="0" fontId="24" fillId="0" borderId="7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6" xfId="0" applyFont="1" applyBorder="1" applyAlignment="1">
      <alignment horizontal="center" vertical="center" wrapText="1"/>
    </xf>
    <xf numFmtId="0" fontId="25" fillId="0" borderId="75" xfId="0" applyFont="1" applyBorder="1" applyAlignment="1">
      <alignment horizontal="center" vertical="center" wrapText="1"/>
    </xf>
    <xf numFmtId="0" fontId="26" fillId="10" borderId="75" xfId="0" applyFont="1" applyFill="1" applyBorder="1" applyAlignment="1">
      <alignment horizontal="left" vertical="center"/>
    </xf>
    <xf numFmtId="0" fontId="15" fillId="9" borderId="26" xfId="0" applyFont="1" applyFill="1" applyBorder="1" applyAlignment="1">
      <alignment vertical="center"/>
    </xf>
    <xf numFmtId="0" fontId="24" fillId="10" borderId="26" xfId="0" applyFont="1" applyFill="1" applyBorder="1" applyAlignment="1">
      <alignment horizontal="center" vertical="center" wrapText="1"/>
    </xf>
    <xf numFmtId="5" fontId="61" fillId="9" borderId="0" xfId="131" applyNumberFormat="1" applyFont="1" applyFill="1" applyBorder="1" applyAlignment="1">
      <alignment horizontal="center" vertical="center" wrapText="1"/>
    </xf>
    <xf numFmtId="0" fontId="61" fillId="9" borderId="0" xfId="0" applyFont="1" applyFill="1" applyAlignment="1">
      <alignment horizontal="right" vertical="center" wrapText="1"/>
    </xf>
    <xf numFmtId="0" fontId="62" fillId="17" borderId="0" xfId="0" applyFont="1" applyFill="1" applyAlignment="1">
      <alignment horizontal="left" vertical="center" wrapText="1"/>
    </xf>
    <xf numFmtId="0" fontId="63" fillId="17" borderId="0" xfId="0" applyFont="1" applyFill="1" applyAlignment="1">
      <alignment horizontal="right" vertical="center" wrapText="1"/>
    </xf>
    <xf numFmtId="0" fontId="22" fillId="8" borderId="37" xfId="0" applyFont="1" applyFill="1" applyBorder="1" applyAlignment="1">
      <alignment vertical="center" wrapText="1"/>
    </xf>
    <xf numFmtId="169" fontId="22" fillId="6" borderId="13" xfId="1030" applyNumberFormat="1" applyFont="1" applyFill="1" applyBorder="1" applyAlignment="1">
      <alignment horizontal="center" vertical="center" wrapText="1"/>
    </xf>
    <xf numFmtId="3" fontId="22" fillId="5" borderId="9" xfId="1030" applyNumberFormat="1" applyFont="1" applyFill="1" applyBorder="1" applyAlignment="1" applyProtection="1">
      <alignment horizontal="center" vertical="center" wrapText="1"/>
      <protection locked="0"/>
    </xf>
    <xf numFmtId="37" fontId="22" fillId="5" borderId="9" xfId="1030" applyNumberFormat="1" applyFont="1" applyFill="1" applyBorder="1" applyAlignment="1" applyProtection="1">
      <alignment horizontal="center" vertical="center" wrapText="1"/>
      <protection locked="0"/>
    </xf>
    <xf numFmtId="165" fontId="22" fillId="5" borderId="9" xfId="1030" applyNumberFormat="1" applyFont="1" applyFill="1" applyBorder="1" applyAlignment="1" applyProtection="1">
      <alignment horizontal="center" vertical="center" wrapText="1"/>
      <protection locked="0"/>
    </xf>
    <xf numFmtId="169" fontId="22" fillId="5" borderId="9" xfId="1030" applyNumberFormat="1" applyFont="1" applyFill="1" applyBorder="1" applyAlignment="1" applyProtection="1">
      <alignment horizontal="center" vertical="center" wrapText="1"/>
      <protection locked="0"/>
    </xf>
    <xf numFmtId="49" fontId="22" fillId="0" borderId="0" xfId="0" applyNumberFormat="1" applyFont="1"/>
    <xf numFmtId="0" fontId="64" fillId="0" borderId="26" xfId="0" applyFont="1" applyBorder="1" applyAlignment="1">
      <alignment horizontal="center" vertical="center"/>
    </xf>
    <xf numFmtId="165" fontId="55" fillId="14" borderId="71" xfId="0" applyNumberFormat="1" applyFont="1" applyFill="1" applyBorder="1" applyAlignment="1" applyProtection="1">
      <alignment horizontal="center"/>
      <protection locked="0"/>
    </xf>
    <xf numFmtId="3" fontId="25" fillId="5" borderId="26" xfId="0" applyNumberFormat="1" applyFont="1" applyFill="1" applyBorder="1" applyAlignment="1" applyProtection="1">
      <alignment horizontal="center" vertical="center" wrapText="1"/>
      <protection locked="0"/>
    </xf>
    <xf numFmtId="0" fontId="22" fillId="6" borderId="15"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15" fillId="9" borderId="16" xfId="0" applyFont="1" applyFill="1" applyBorder="1" applyAlignment="1">
      <alignment horizontal="center" vertical="center"/>
    </xf>
    <xf numFmtId="0" fontId="24" fillId="0" borderId="75" xfId="0" applyFont="1" applyBorder="1" applyAlignment="1">
      <alignment horizontal="center" vertical="center" wrapText="1"/>
    </xf>
    <xf numFmtId="0" fontId="72" fillId="0" borderId="75" xfId="0" applyFont="1" applyBorder="1" applyAlignment="1">
      <alignment horizontal="center" vertical="center" wrapText="1"/>
    </xf>
    <xf numFmtId="0" fontId="15" fillId="9" borderId="20" xfId="0" applyFont="1" applyFill="1" applyBorder="1" applyAlignment="1">
      <alignment horizontal="center" vertical="center"/>
    </xf>
    <xf numFmtId="0" fontId="72" fillId="0" borderId="75" xfId="0" applyFont="1" applyBorder="1" applyAlignment="1">
      <alignment horizontal="center" vertical="center"/>
    </xf>
    <xf numFmtId="165" fontId="25" fillId="5" borderId="76" xfId="0" applyNumberFormat="1" applyFont="1" applyFill="1" applyBorder="1" applyAlignment="1" applyProtection="1">
      <alignment horizontal="center" vertical="center" wrapText="1"/>
      <protection locked="0"/>
    </xf>
    <xf numFmtId="6" fontId="24" fillId="10" borderId="76" xfId="0" applyNumberFormat="1" applyFont="1" applyFill="1" applyBorder="1" applyAlignment="1">
      <alignment horizontal="center" vertical="center" wrapText="1"/>
    </xf>
    <xf numFmtId="165" fontId="66" fillId="5" borderId="9" xfId="0" applyNumberFormat="1" applyFont="1" applyFill="1" applyBorder="1" applyAlignment="1" applyProtection="1">
      <alignment horizontal="center" vertical="center" wrapText="1"/>
      <protection locked="0"/>
    </xf>
    <xf numFmtId="0" fontId="12" fillId="0" borderId="75" xfId="0" applyFont="1" applyBorder="1" applyAlignment="1">
      <alignment horizontal="left"/>
    </xf>
    <xf numFmtId="0" fontId="51" fillId="0" borderId="26" xfId="0" applyFont="1" applyBorder="1"/>
    <xf numFmtId="0" fontId="51" fillId="0" borderId="76" xfId="0" applyFont="1" applyBorder="1"/>
    <xf numFmtId="6" fontId="21" fillId="5" borderId="9" xfId="0" applyNumberFormat="1" applyFont="1" applyFill="1" applyBorder="1" applyAlignment="1" applyProtection="1">
      <alignment horizontal="center" vertical="center" wrapText="1"/>
      <protection locked="0"/>
    </xf>
    <xf numFmtId="165" fontId="61" fillId="5" borderId="9" xfId="950" applyNumberFormat="1" applyFont="1" applyFill="1" applyBorder="1" applyAlignment="1" applyProtection="1">
      <alignment horizontal="center" vertical="center" wrapText="1"/>
      <protection locked="0"/>
    </xf>
    <xf numFmtId="169" fontId="15" fillId="0" borderId="0" xfId="132" applyNumberFormat="1" applyFont="1"/>
    <xf numFmtId="165" fontId="22" fillId="15" borderId="36" xfId="0" applyNumberFormat="1" applyFont="1" applyFill="1" applyBorder="1" applyAlignment="1">
      <alignment horizontal="center" vertical="center" wrapText="1"/>
    </xf>
    <xf numFmtId="0" fontId="74" fillId="7" borderId="25" xfId="0" applyFont="1" applyFill="1" applyBorder="1" applyAlignment="1">
      <alignment horizontal="center" wrapText="1"/>
    </xf>
    <xf numFmtId="165" fontId="21" fillId="13" borderId="62" xfId="0" applyNumberFormat="1" applyFont="1" applyFill="1" applyBorder="1" applyAlignment="1" applyProtection="1">
      <alignment horizontal="center" vertical="center" wrapText="1"/>
      <protection hidden="1"/>
    </xf>
    <xf numFmtId="6" fontId="22" fillId="14" borderId="27" xfId="0" applyNumberFormat="1" applyFont="1" applyFill="1" applyBorder="1" applyAlignment="1" applyProtection="1">
      <alignment horizontal="center" vertical="center" wrapText="1"/>
      <protection locked="0"/>
    </xf>
    <xf numFmtId="0" fontId="75" fillId="9" borderId="0" xfId="0" applyFont="1" applyFill="1" applyAlignment="1">
      <alignment horizontal="left" vertical="center" wrapText="1"/>
    </xf>
    <xf numFmtId="0" fontId="0" fillId="0" borderId="0" xfId="0" applyAlignment="1">
      <alignment wrapText="1"/>
    </xf>
    <xf numFmtId="0" fontId="51" fillId="0" borderId="0" xfId="0" applyFont="1"/>
    <xf numFmtId="0" fontId="19" fillId="11" borderId="0" xfId="0" applyFont="1" applyFill="1" applyAlignment="1">
      <alignment horizontal="center" vertical="center" wrapText="1"/>
    </xf>
    <xf numFmtId="0" fontId="19" fillId="11" borderId="8" xfId="0" applyFont="1" applyFill="1" applyBorder="1" applyAlignment="1">
      <alignment horizontal="center" vertical="center" wrapText="1"/>
    </xf>
    <xf numFmtId="10" fontId="25" fillId="5" borderId="27" xfId="0" applyNumberFormat="1" applyFont="1" applyFill="1" applyBorder="1" applyAlignment="1" applyProtection="1">
      <alignment horizontal="center" vertical="center"/>
      <protection locked="0"/>
    </xf>
    <xf numFmtId="0" fontId="22" fillId="0" borderId="0" xfId="0" applyFont="1" applyAlignment="1">
      <alignment vertical="center"/>
    </xf>
    <xf numFmtId="0" fontId="21" fillId="15" borderId="6" xfId="0" applyFont="1" applyFill="1" applyBorder="1" applyAlignment="1">
      <alignment horizontal="center" vertical="center" wrapText="1"/>
    </xf>
    <xf numFmtId="37" fontId="22" fillId="5" borderId="9" xfId="1091" applyNumberFormat="1" applyFont="1" applyFill="1" applyBorder="1" applyAlignment="1" applyProtection="1">
      <alignment horizontal="center" vertical="center" wrapText="1"/>
      <protection locked="0"/>
    </xf>
    <xf numFmtId="3" fontId="21" fillId="20" borderId="9" xfId="1092" applyNumberFormat="1" applyFont="1" applyFill="1" applyBorder="1" applyAlignment="1">
      <alignment horizontal="center" vertical="center" wrapText="1"/>
    </xf>
    <xf numFmtId="0" fontId="24" fillId="9" borderId="2" xfId="0" applyFont="1" applyFill="1" applyBorder="1" applyAlignment="1">
      <alignment horizontal="center" vertical="center" wrapText="1"/>
    </xf>
    <xf numFmtId="0" fontId="25" fillId="9" borderId="0" xfId="0" applyFont="1" applyFill="1" applyAlignment="1">
      <alignment vertical="center" wrapText="1"/>
    </xf>
    <xf numFmtId="3" fontId="24" fillId="9" borderId="0" xfId="0" applyNumberFormat="1" applyFont="1" applyFill="1" applyAlignment="1">
      <alignment horizontal="right" vertical="center" wrapText="1"/>
    </xf>
    <xf numFmtId="6" fontId="24" fillId="9" borderId="0" xfId="0" applyNumberFormat="1" applyFont="1" applyFill="1" applyAlignment="1">
      <alignment horizontal="right" vertical="center" wrapText="1"/>
    </xf>
    <xf numFmtId="0" fontId="15" fillId="8" borderId="0" xfId="0" applyFont="1" applyFill="1"/>
    <xf numFmtId="0" fontId="77"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xf numFmtId="0" fontId="8" fillId="4" borderId="0" xfId="0" applyFont="1" applyFill="1"/>
    <xf numFmtId="0" fontId="6" fillId="4" borderId="0" xfId="1089" applyFill="1" applyAlignment="1" applyProtection="1"/>
    <xf numFmtId="0" fontId="78" fillId="4" borderId="0" xfId="1090" applyFont="1" applyFill="1" applyAlignment="1" applyProtection="1"/>
    <xf numFmtId="0" fontId="79" fillId="16" borderId="0" xfId="0" applyFont="1" applyFill="1"/>
    <xf numFmtId="178" fontId="8" fillId="4" borderId="0" xfId="0" applyNumberFormat="1" applyFont="1" applyFill="1"/>
    <xf numFmtId="0" fontId="8" fillId="0" borderId="0" xfId="0" applyFont="1"/>
    <xf numFmtId="0" fontId="0" fillId="5" borderId="0" xfId="0" applyFill="1"/>
    <xf numFmtId="0" fontId="8" fillId="0" borderId="0" xfId="0" applyFont="1" applyAlignment="1">
      <alignment wrapText="1"/>
    </xf>
    <xf numFmtId="0" fontId="51" fillId="0" borderId="0" xfId="0" applyFont="1" applyAlignment="1">
      <alignment wrapText="1"/>
    </xf>
    <xf numFmtId="0" fontId="51" fillId="5" borderId="0" xfId="0" applyFont="1" applyFill="1" applyAlignment="1">
      <alignment wrapText="1"/>
    </xf>
    <xf numFmtId="0" fontId="83" fillId="0" borderId="0" xfId="0" applyFont="1" applyAlignment="1">
      <alignment wrapText="1"/>
    </xf>
    <xf numFmtId="180" fontId="51" fillId="0" borderId="0" xfId="1091" applyNumberFormat="1" applyFont="1" applyAlignment="1">
      <alignment wrapText="1"/>
    </xf>
    <xf numFmtId="180" fontId="83" fillId="0" borderId="0" xfId="1091" applyNumberFormat="1" applyFont="1" applyAlignment="1">
      <alignment wrapText="1"/>
    </xf>
    <xf numFmtId="0" fontId="84" fillId="0" borderId="0" xfId="0" applyFont="1"/>
    <xf numFmtId="0" fontId="83" fillId="0" borderId="0" xfId="0" applyFont="1"/>
    <xf numFmtId="180" fontId="83" fillId="0" borderId="0" xfId="1091" applyNumberFormat="1" applyFont="1"/>
    <xf numFmtId="0" fontId="51" fillId="5" borderId="0" xfId="0" applyFont="1" applyFill="1"/>
    <xf numFmtId="3" fontId="22" fillId="6" borderId="9" xfId="1091" applyNumberFormat="1" applyFont="1" applyFill="1" applyBorder="1" applyAlignment="1" applyProtection="1">
      <alignment horizontal="center" vertical="center" wrapText="1"/>
    </xf>
    <xf numFmtId="37" fontId="22" fillId="6" borderId="9" xfId="1091" applyNumberFormat="1" applyFont="1" applyFill="1" applyBorder="1" applyAlignment="1" applyProtection="1">
      <alignment horizontal="center" vertical="center" wrapText="1"/>
    </xf>
    <xf numFmtId="3" fontId="21" fillId="6" borderId="9" xfId="1092" applyNumberFormat="1" applyFont="1" applyFill="1" applyBorder="1" applyAlignment="1" applyProtection="1">
      <alignment horizontal="center" vertical="center" wrapText="1"/>
    </xf>
    <xf numFmtId="169" fontId="22" fillId="6" borderId="13" xfId="1030" applyNumberFormat="1" applyFont="1" applyFill="1" applyBorder="1" applyAlignment="1" applyProtection="1">
      <alignment horizontal="center" vertical="center" wrapText="1"/>
    </xf>
    <xf numFmtId="0" fontId="22" fillId="5" borderId="13" xfId="0" applyFont="1" applyFill="1" applyBorder="1" applyAlignment="1" applyProtection="1">
      <alignment horizontal="left" vertical="center" wrapText="1"/>
      <protection locked="0"/>
    </xf>
    <xf numFmtId="0" fontId="8" fillId="5" borderId="0" xfId="0" applyFont="1" applyFill="1"/>
    <xf numFmtId="0" fontId="6" fillId="5" borderId="0" xfId="1089" applyFill="1" applyAlignment="1" applyProtection="1"/>
    <xf numFmtId="0" fontId="85" fillId="5" borderId="0" xfId="1089" applyFont="1" applyFill="1" applyAlignment="1" applyProtection="1"/>
    <xf numFmtId="11" fontId="0" fillId="5" borderId="0" xfId="0" applyNumberFormat="1" applyFill="1"/>
    <xf numFmtId="179" fontId="80" fillId="5" borderId="85" xfId="1093" applyNumberFormat="1" applyFill="1" applyBorder="1"/>
    <xf numFmtId="179" fontId="80" fillId="5" borderId="0" xfId="1093" applyNumberFormat="1" applyFill="1"/>
    <xf numFmtId="0" fontId="86" fillId="7" borderId="51" xfId="0" applyFont="1" applyFill="1" applyBorder="1" applyAlignment="1">
      <alignment vertical="center" wrapText="1"/>
    </xf>
    <xf numFmtId="3" fontId="15" fillId="0" borderId="0" xfId="0" applyNumberFormat="1" applyFont="1"/>
    <xf numFmtId="165" fontId="87" fillId="6" borderId="45" xfId="0" applyNumberFormat="1" applyFont="1" applyFill="1" applyBorder="1" applyAlignment="1" applyProtection="1">
      <alignment horizontal="center" vertical="center" wrapText="1"/>
      <protection hidden="1"/>
    </xf>
    <xf numFmtId="172" fontId="12" fillId="0" borderId="26" xfId="0" applyNumberFormat="1" applyFont="1" applyBorder="1" applyAlignment="1">
      <alignment horizontal="center"/>
    </xf>
    <xf numFmtId="172" fontId="12" fillId="0" borderId="85" xfId="0" applyNumberFormat="1" applyFont="1" applyBorder="1" applyAlignment="1">
      <alignment horizontal="center"/>
    </xf>
    <xf numFmtId="0" fontId="88" fillId="0" borderId="0" xfId="0" applyFont="1"/>
    <xf numFmtId="0" fontId="89" fillId="0" borderId="0" xfId="0" applyFont="1"/>
    <xf numFmtId="43" fontId="51" fillId="0" borderId="0" xfId="1091" applyFont="1" applyAlignment="1">
      <alignment wrapText="1"/>
    </xf>
    <xf numFmtId="43" fontId="51" fillId="0" borderId="0" xfId="1091" applyFont="1"/>
    <xf numFmtId="0" fontId="83" fillId="5" borderId="0" xfId="0" applyFont="1" applyFill="1"/>
    <xf numFmtId="0" fontId="15" fillId="5" borderId="27" xfId="0" applyFont="1" applyFill="1" applyBorder="1" applyAlignment="1" applyProtection="1">
      <alignment horizontal="center"/>
      <protection locked="0"/>
    </xf>
    <xf numFmtId="0" fontId="22" fillId="5" borderId="1" xfId="0" applyFont="1" applyFill="1" applyBorder="1" applyAlignment="1" applyProtection="1">
      <alignment horizontal="left" vertical="center" wrapText="1"/>
      <protection locked="0"/>
    </xf>
    <xf numFmtId="0" fontId="22" fillId="5" borderId="9" xfId="0" applyFont="1" applyFill="1" applyBorder="1" applyAlignment="1" applyProtection="1">
      <alignment horizontal="left" vertical="center" wrapText="1"/>
      <protection locked="0"/>
    </xf>
    <xf numFmtId="181" fontId="84" fillId="0" borderId="0" xfId="0" applyNumberFormat="1" applyFont="1" applyAlignment="1">
      <alignment wrapText="1"/>
    </xf>
    <xf numFmtId="182" fontId="84" fillId="0" borderId="0" xfId="0" applyNumberFormat="1" applyFont="1" applyAlignment="1">
      <alignment wrapText="1"/>
    </xf>
    <xf numFmtId="181" fontId="84" fillId="0" borderId="0" xfId="0" applyNumberFormat="1" applyFont="1"/>
    <xf numFmtId="182" fontId="84" fillId="0" borderId="0" xfId="0" applyNumberFormat="1" applyFont="1"/>
    <xf numFmtId="0" fontId="90" fillId="5" borderId="0" xfId="1094" applyFont="1" applyFill="1"/>
    <xf numFmtId="0" fontId="8" fillId="5" borderId="0" xfId="1094" applyFill="1"/>
    <xf numFmtId="177" fontId="15" fillId="5" borderId="26" xfId="0" applyNumberFormat="1" applyFont="1" applyFill="1" applyBorder="1" applyAlignment="1" applyProtection="1">
      <alignment horizontal="center" vertical="center" wrapText="1"/>
      <protection locked="0"/>
    </xf>
    <xf numFmtId="177" fontId="25" fillId="13" borderId="26" xfId="0" applyNumberFormat="1" applyFont="1" applyFill="1" applyBorder="1" applyAlignment="1">
      <alignment horizontal="center" vertical="center" wrapText="1"/>
    </xf>
    <xf numFmtId="165" fontId="25" fillId="13" borderId="26" xfId="0" applyNumberFormat="1" applyFont="1" applyFill="1" applyBorder="1" applyAlignment="1">
      <alignment horizontal="center" vertical="center" wrapText="1"/>
    </xf>
    <xf numFmtId="3" fontId="25" fillId="13" borderId="26" xfId="0" applyNumberFormat="1" applyFont="1" applyFill="1" applyBorder="1" applyAlignment="1">
      <alignment horizontal="center" vertical="center" wrapText="1"/>
    </xf>
    <xf numFmtId="165" fontId="25" fillId="13" borderId="76" xfId="0" applyNumberFormat="1" applyFont="1" applyFill="1" applyBorder="1" applyAlignment="1">
      <alignment horizontal="center" vertical="center" wrapText="1"/>
    </xf>
    <xf numFmtId="165" fontId="24" fillId="13" borderId="26" xfId="0" applyNumberFormat="1" applyFont="1" applyFill="1" applyBorder="1" applyAlignment="1">
      <alignment horizontal="center" vertical="center" wrapText="1"/>
    </xf>
    <xf numFmtId="3" fontId="24" fillId="13" borderId="26" xfId="0" applyNumberFormat="1" applyFont="1" applyFill="1" applyBorder="1" applyAlignment="1">
      <alignment horizontal="center" vertical="center" wrapText="1"/>
    </xf>
    <xf numFmtId="165" fontId="24" fillId="13" borderId="76" xfId="0" applyNumberFormat="1" applyFont="1" applyFill="1" applyBorder="1" applyAlignment="1">
      <alignment horizontal="center" vertical="center" wrapText="1"/>
    </xf>
    <xf numFmtId="0" fontId="22" fillId="5" borderId="13" xfId="0" applyFont="1" applyFill="1" applyBorder="1" applyAlignment="1" applyProtection="1">
      <alignment vertical="center" wrapText="1"/>
      <protection locked="0"/>
    </xf>
    <xf numFmtId="0" fontId="22" fillId="5" borderId="1" xfId="0" applyFont="1" applyFill="1" applyBorder="1" applyAlignment="1" applyProtection="1">
      <alignment vertical="center" wrapText="1"/>
      <protection locked="0"/>
    </xf>
    <xf numFmtId="6" fontId="66" fillId="5" borderId="9" xfId="0" applyNumberFormat="1" applyFont="1" applyFill="1" applyBorder="1" applyAlignment="1" applyProtection="1">
      <alignment horizontal="center" vertical="center" wrapText="1"/>
      <protection locked="0"/>
    </xf>
    <xf numFmtId="174" fontId="22" fillId="14" borderId="32" xfId="0" applyNumberFormat="1" applyFont="1" applyFill="1" applyBorder="1" applyAlignment="1" applyProtection="1">
      <alignment horizontal="center" vertical="center" wrapText="1"/>
      <protection locked="0"/>
    </xf>
    <xf numFmtId="3" fontId="22" fillId="5" borderId="9" xfId="1091" applyNumberFormat="1" applyFont="1" applyFill="1" applyBorder="1" applyAlignment="1" applyProtection="1">
      <alignment horizontal="center" vertical="center" wrapText="1"/>
      <protection locked="0"/>
    </xf>
    <xf numFmtId="165" fontId="22" fillId="5" borderId="9" xfId="1091" applyNumberFormat="1" applyFont="1" applyFill="1" applyBorder="1" applyAlignment="1" applyProtection="1">
      <alignment horizontal="center" vertical="center" wrapText="1"/>
      <protection locked="0"/>
    </xf>
    <xf numFmtId="3" fontId="21" fillId="6" borderId="9" xfId="1092" applyNumberFormat="1" applyFont="1" applyFill="1" applyBorder="1" applyAlignment="1">
      <alignment horizontal="center" vertical="center" wrapText="1"/>
    </xf>
    <xf numFmtId="165" fontId="22" fillId="0" borderId="0" xfId="0" applyNumberFormat="1" applyFont="1"/>
    <xf numFmtId="172" fontId="22" fillId="0" borderId="0" xfId="0" applyNumberFormat="1" applyFont="1"/>
    <xf numFmtId="0" fontId="73" fillId="0" borderId="70" xfId="1089" applyFont="1" applyBorder="1" applyAlignment="1">
      <alignment horizontal="left"/>
    </xf>
    <xf numFmtId="0" fontId="30" fillId="11" borderId="0" xfId="0" applyFont="1" applyFill="1" applyAlignment="1">
      <alignment horizontal="center" vertical="center"/>
    </xf>
    <xf numFmtId="0" fontId="6" fillId="0" borderId="71" xfId="1089" applyBorder="1"/>
    <xf numFmtId="0" fontId="6" fillId="0" borderId="26" xfId="1089" applyBorder="1"/>
    <xf numFmtId="0" fontId="67" fillId="0" borderId="71" xfId="0" applyFont="1" applyBorder="1"/>
    <xf numFmtId="0" fontId="0" fillId="0" borderId="71" xfId="0" applyBorder="1"/>
    <xf numFmtId="0" fontId="67" fillId="0" borderId="26" xfId="0" applyFont="1" applyBorder="1"/>
    <xf numFmtId="0" fontId="0" fillId="0" borderId="26" xfId="0" applyBorder="1"/>
    <xf numFmtId="0" fontId="36" fillId="0" borderId="28"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29" xfId="0" applyFont="1" applyBorder="1" applyAlignment="1">
      <alignment horizontal="center" vertical="center" wrapText="1"/>
    </xf>
    <xf numFmtId="0" fontId="30" fillId="11" borderId="16" xfId="0" applyFont="1" applyFill="1" applyBorder="1" applyAlignment="1">
      <alignment horizontal="center" vertical="center"/>
    </xf>
    <xf numFmtId="0" fontId="30" fillId="11" borderId="17" xfId="0" applyFont="1" applyFill="1" applyBorder="1" applyAlignment="1">
      <alignment horizontal="center" vertical="center"/>
    </xf>
    <xf numFmtId="0" fontId="30" fillId="11" borderId="83" xfId="0" applyFont="1" applyFill="1" applyBorder="1" applyAlignment="1">
      <alignment horizontal="center" vertical="center"/>
    </xf>
    <xf numFmtId="0" fontId="30" fillId="11" borderId="21" xfId="0" applyFont="1" applyFill="1" applyBorder="1" applyAlignment="1">
      <alignment horizontal="center" vertical="center"/>
    </xf>
    <xf numFmtId="0" fontId="30" fillId="11" borderId="22" xfId="0" applyFont="1" applyFill="1" applyBorder="1" applyAlignment="1">
      <alignment horizontal="center" vertical="center"/>
    </xf>
    <xf numFmtId="0" fontId="30" fillId="11" borderId="84" xfId="0" applyFont="1" applyFill="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2" xfId="0" applyFont="1" applyBorder="1" applyAlignment="1">
      <alignment horizontal="center" vertical="center" wrapText="1"/>
    </xf>
    <xf numFmtId="0" fontId="0" fillId="0" borderId="54" xfId="0" applyBorder="1" applyAlignment="1">
      <alignment horizontal="center" vertical="center" wrapText="1"/>
    </xf>
    <xf numFmtId="0" fontId="0" fillId="0" borderId="54" xfId="0" applyBorder="1"/>
    <xf numFmtId="0" fontId="0" fillId="0" borderId="29" xfId="0" applyBorder="1"/>
    <xf numFmtId="0" fontId="23" fillId="9" borderId="17" xfId="0" applyFont="1" applyFill="1" applyBorder="1"/>
    <xf numFmtId="0" fontId="0" fillId="0" borderId="22" xfId="0" applyBorder="1"/>
    <xf numFmtId="0" fontId="18" fillId="0" borderId="2" xfId="0" applyFont="1" applyBorder="1" applyAlignment="1">
      <alignment vertical="center"/>
    </xf>
    <xf numFmtId="0" fontId="0" fillId="0" borderId="3" xfId="0" applyBorder="1"/>
    <xf numFmtId="0" fontId="0" fillId="0" borderId="4" xfId="0" applyBorder="1"/>
    <xf numFmtId="0" fontId="12" fillId="5" borderId="7" xfId="0" applyFont="1" applyFill="1" applyBorder="1" applyAlignment="1" applyProtection="1">
      <alignment horizontal="left" wrapText="1"/>
      <protection locked="0"/>
    </xf>
    <xf numFmtId="0" fontId="0" fillId="0" borderId="8" xfId="0" applyBorder="1"/>
    <xf numFmtId="0" fontId="0" fillId="0" borderId="9" xfId="0" applyBorder="1"/>
    <xf numFmtId="0" fontId="12" fillId="0" borderId="7" xfId="0" applyFont="1" applyBorder="1" applyAlignment="1">
      <alignment horizontal="left"/>
    </xf>
    <xf numFmtId="0" fontId="18" fillId="0" borderId="65" xfId="0" applyFont="1" applyBorder="1" applyAlignment="1">
      <alignment vertical="center"/>
    </xf>
    <xf numFmtId="0" fontId="0" fillId="0" borderId="17" xfId="0" applyBorder="1"/>
    <xf numFmtId="0" fontId="0" fillId="0" borderId="66" xfId="0" applyBorder="1"/>
    <xf numFmtId="0" fontId="12" fillId="0" borderId="5"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12" fillId="0" borderId="5" xfId="0" applyFon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12" fillId="5" borderId="21" xfId="0" applyFont="1" applyFill="1" applyBorder="1" applyAlignment="1" applyProtection="1">
      <alignment horizontal="left" wrapText="1"/>
      <protection locked="0"/>
    </xf>
    <xf numFmtId="0" fontId="12" fillId="5" borderId="22" xfId="0" applyFont="1" applyFill="1" applyBorder="1" applyAlignment="1" applyProtection="1">
      <alignment horizontal="left" wrapText="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18" fillId="0" borderId="16" xfId="0" applyFont="1" applyBorder="1" applyAlignment="1">
      <alignment vertical="center" wrapText="1"/>
    </xf>
    <xf numFmtId="0" fontId="18" fillId="0" borderId="17" xfId="0" applyFont="1" applyBorder="1" applyAlignment="1">
      <alignment vertical="center" wrapText="1"/>
    </xf>
    <xf numFmtId="0" fontId="0" fillId="0" borderId="18" xfId="0" applyBorder="1"/>
    <xf numFmtId="0" fontId="14" fillId="11" borderId="19"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29" fillId="0" borderId="19" xfId="0" applyFont="1" applyBorder="1" applyAlignment="1">
      <alignment wrapText="1"/>
    </xf>
    <xf numFmtId="0" fontId="29" fillId="0" borderId="0" xfId="0" applyFont="1" applyAlignment="1">
      <alignment wrapText="1"/>
    </xf>
    <xf numFmtId="0" fontId="29" fillId="0" borderId="20" xfId="0" applyFont="1" applyBorder="1" applyAlignment="1">
      <alignment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29" fillId="0" borderId="21" xfId="0" applyFont="1" applyBorder="1" applyAlignment="1">
      <alignment horizontal="left"/>
    </xf>
    <xf numFmtId="0" fontId="29" fillId="0" borderId="22" xfId="0" applyFont="1" applyBorder="1" applyAlignment="1">
      <alignment horizontal="left"/>
    </xf>
    <xf numFmtId="0" fontId="29" fillId="0" borderId="23" xfId="0" applyFont="1" applyBorder="1" applyAlignment="1">
      <alignment horizontal="left"/>
    </xf>
    <xf numFmtId="0" fontId="0" fillId="0" borderId="0" xfId="0"/>
    <xf numFmtId="0" fontId="24" fillId="0" borderId="2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4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2" xfId="0" applyFont="1" applyBorder="1" applyAlignment="1">
      <alignment horizontal="center" vertical="center" wrapText="1"/>
    </xf>
    <xf numFmtId="0" fontId="12" fillId="0" borderId="19" xfId="0" applyFont="1" applyBorder="1" applyAlignment="1">
      <alignment horizontal="left"/>
    </xf>
    <xf numFmtId="0" fontId="0" fillId="0" borderId="20" xfId="0" applyBorder="1"/>
    <xf numFmtId="0" fontId="17" fillId="0" borderId="65" xfId="0" applyFont="1" applyBorder="1" applyAlignment="1">
      <alignment vertical="center" wrapText="1"/>
    </xf>
    <xf numFmtId="0" fontId="17" fillId="0" borderId="17" xfId="0" applyFont="1" applyBorder="1" applyAlignment="1">
      <alignment vertical="center" wrapText="1"/>
    </xf>
    <xf numFmtId="0" fontId="12" fillId="5" borderId="23" xfId="0" applyFont="1" applyFill="1" applyBorder="1" applyAlignment="1" applyProtection="1">
      <alignment horizontal="left" wrapText="1"/>
      <protection locked="0"/>
    </xf>
    <xf numFmtId="0" fontId="12" fillId="0" borderId="19" xfId="0" applyFont="1" applyBorder="1" applyAlignment="1">
      <alignment wrapText="1"/>
    </xf>
    <xf numFmtId="0" fontId="0" fillId="0" borderId="0" xfId="0" applyAlignment="1">
      <alignment wrapText="1"/>
    </xf>
    <xf numFmtId="0" fontId="0" fillId="0" borderId="20" xfId="0" applyBorder="1" applyAlignment="1">
      <alignment wrapText="1"/>
    </xf>
    <xf numFmtId="0" fontId="51" fillId="0" borderId="0" xfId="0" applyFont="1"/>
    <xf numFmtId="0" fontId="51" fillId="0" borderId="20" xfId="0" applyFont="1" applyBorder="1"/>
    <xf numFmtId="0" fontId="12" fillId="0" borderId="19" xfId="0" applyFont="1" applyBorder="1"/>
    <xf numFmtId="0" fontId="12" fillId="0" borderId="21" xfId="0" applyFont="1" applyBorder="1"/>
    <xf numFmtId="0" fontId="0" fillId="0" borderId="23" xfId="0" applyBorder="1"/>
    <xf numFmtId="0" fontId="17" fillId="0" borderId="24" xfId="0" applyFont="1" applyBorder="1" applyAlignment="1">
      <alignment vertical="center" wrapText="1"/>
    </xf>
    <xf numFmtId="0" fontId="17" fillId="0" borderId="48" xfId="0" applyFont="1" applyBorder="1" applyAlignment="1">
      <alignment vertical="center" wrapText="1"/>
    </xf>
    <xf numFmtId="0" fontId="0" fillId="0" borderId="25" xfId="0" applyBorder="1"/>
    <xf numFmtId="0" fontId="12" fillId="5" borderId="21" xfId="0" applyFont="1" applyFill="1" applyBorder="1" applyAlignment="1" applyProtection="1">
      <alignment wrapText="1"/>
      <protection locked="0"/>
    </xf>
    <xf numFmtId="0" fontId="12" fillId="5" borderId="22" xfId="0" applyFont="1" applyFill="1" applyBorder="1" applyAlignment="1" applyProtection="1">
      <alignment wrapText="1"/>
      <protection locked="0"/>
    </xf>
    <xf numFmtId="0" fontId="24" fillId="0" borderId="69" xfId="0" applyFont="1" applyBorder="1" applyAlignment="1">
      <alignment horizontal="center" vertical="center" wrapText="1"/>
    </xf>
    <xf numFmtId="0" fontId="17" fillId="0" borderId="16" xfId="0" applyFont="1" applyBorder="1" applyAlignment="1">
      <alignment vertical="center" wrapText="1"/>
    </xf>
    <xf numFmtId="0" fontId="15" fillId="9" borderId="16"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4" fillId="11" borderId="16"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24" fillId="0" borderId="72" xfId="0" applyFont="1" applyBorder="1" applyAlignment="1">
      <alignment horizontal="center" vertical="center" wrapText="1"/>
    </xf>
    <xf numFmtId="0" fontId="24" fillId="0" borderId="75" xfId="0" applyFont="1" applyBorder="1" applyAlignment="1">
      <alignment horizontal="center" vertical="center" wrapText="1"/>
    </xf>
    <xf numFmtId="0" fontId="12" fillId="0" borderId="86" xfId="0" applyFont="1" applyBorder="1" applyAlignment="1">
      <alignment horizontal="left" vertical="center" wrapText="1"/>
    </xf>
    <xf numFmtId="0" fontId="51" fillId="0" borderId="87" xfId="0" applyFont="1" applyBorder="1" applyAlignment="1">
      <alignment vertical="center" wrapText="1"/>
    </xf>
    <xf numFmtId="0" fontId="51" fillId="0" borderId="88" xfId="0" applyFont="1" applyBorder="1" applyAlignment="1">
      <alignment vertical="center" wrapText="1"/>
    </xf>
    <xf numFmtId="0" fontId="0" fillId="0" borderId="80" xfId="0" applyBorder="1" applyAlignment="1">
      <alignment horizontal="center" vertical="center"/>
    </xf>
    <xf numFmtId="0" fontId="0" fillId="0" borderId="7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7" fillId="0" borderId="92" xfId="0" applyFont="1" applyBorder="1" applyAlignment="1">
      <alignment vertical="center" wrapText="1"/>
    </xf>
    <xf numFmtId="0" fontId="17" fillId="0" borderId="93" xfId="0" applyFont="1" applyBorder="1" applyAlignment="1">
      <alignment vertical="center" wrapText="1"/>
    </xf>
    <xf numFmtId="0" fontId="17" fillId="0" borderId="94" xfId="0" applyFont="1" applyBorder="1" applyAlignment="1">
      <alignment vertical="center" wrapText="1"/>
    </xf>
    <xf numFmtId="0" fontId="12" fillId="5" borderId="89" xfId="0" applyFont="1" applyFill="1" applyBorder="1" applyAlignment="1" applyProtection="1">
      <alignment horizontal="left" wrapText="1"/>
      <protection locked="0"/>
    </xf>
    <xf numFmtId="0" fontId="12" fillId="5" borderId="90" xfId="0" applyFont="1" applyFill="1" applyBorder="1" applyAlignment="1" applyProtection="1">
      <alignment horizontal="left" wrapText="1"/>
      <protection locked="0"/>
    </xf>
    <xf numFmtId="0" fontId="12" fillId="5" borderId="91" xfId="0" applyFont="1" applyFill="1" applyBorder="1" applyAlignment="1" applyProtection="1">
      <alignment horizontal="left" wrapText="1"/>
      <protection locked="0"/>
    </xf>
    <xf numFmtId="0" fontId="17" fillId="0" borderId="75" xfId="0" applyFont="1" applyBorder="1" applyAlignment="1">
      <alignment vertical="center" wrapText="1"/>
    </xf>
    <xf numFmtId="0" fontId="17" fillId="0" borderId="26" xfId="0" applyFont="1" applyBorder="1" applyAlignment="1">
      <alignment vertical="center" wrapText="1"/>
    </xf>
    <xf numFmtId="0" fontId="17" fillId="0" borderId="76" xfId="0" applyFont="1" applyBorder="1" applyAlignment="1">
      <alignmen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79" xfId="0" applyFont="1" applyBorder="1" applyAlignment="1">
      <alignment horizontal="left" vertical="center" wrapText="1"/>
    </xf>
    <xf numFmtId="0" fontId="12" fillId="0" borderId="75" xfId="0" applyFont="1" applyBorder="1" applyAlignment="1">
      <alignment wrapText="1"/>
    </xf>
    <xf numFmtId="0" fontId="51" fillId="0" borderId="26" xfId="0" applyFont="1" applyBorder="1" applyAlignment="1">
      <alignment wrapText="1"/>
    </xf>
    <xf numFmtId="0" fontId="51" fillId="0" borderId="76" xfId="0" applyFont="1" applyBorder="1" applyAlignment="1">
      <alignment wrapText="1"/>
    </xf>
    <xf numFmtId="0" fontId="12" fillId="0" borderId="75" xfId="0" applyFont="1" applyBorder="1" applyAlignment="1">
      <alignment horizontal="left" wrapText="1"/>
    </xf>
    <xf numFmtId="0" fontId="12" fillId="0" borderId="75" xfId="0" applyFont="1" applyBorder="1" applyAlignment="1">
      <alignment horizontal="left"/>
    </xf>
    <xf numFmtId="0" fontId="51" fillId="0" borderId="26" xfId="0" applyFont="1" applyBorder="1"/>
    <xf numFmtId="0" fontId="51" fillId="0" borderId="76" xfId="0" applyFont="1" applyBorder="1"/>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12" fillId="0" borderId="21" xfId="0" applyFont="1"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12" fillId="0" borderId="0" xfId="0" applyFont="1" applyAlignment="1">
      <alignment horizontal="left"/>
    </xf>
    <xf numFmtId="0" fontId="12" fillId="0" borderId="20" xfId="0" applyFont="1" applyBorder="1" applyAlignment="1">
      <alignment horizontal="left"/>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12" fillId="0" borderId="19" xfId="0" applyFont="1" applyBorder="1" applyAlignment="1">
      <alignment horizontal="left" wrapText="1"/>
    </xf>
    <xf numFmtId="0" fontId="12" fillId="0" borderId="0" xfId="0" applyFont="1" applyAlignment="1">
      <alignment horizontal="left" wrapText="1"/>
    </xf>
    <xf numFmtId="0" fontId="12" fillId="0" borderId="20" xfId="0" applyFont="1" applyBorder="1" applyAlignment="1">
      <alignment horizontal="left" wrapText="1"/>
    </xf>
    <xf numFmtId="0" fontId="17" fillId="0" borderId="65" xfId="0" applyFont="1" applyBorder="1" applyAlignment="1">
      <alignment horizontal="left" vertical="center" wrapText="1"/>
    </xf>
    <xf numFmtId="0" fontId="21" fillId="17" borderId="7" xfId="0" applyFont="1" applyFill="1" applyBorder="1" applyAlignment="1">
      <alignment horizontal="center" vertical="center" wrapText="1"/>
    </xf>
    <xf numFmtId="0" fontId="50" fillId="0" borderId="8" xfId="0" applyFont="1" applyBorder="1" applyAlignment="1">
      <alignment horizontal="center" vertical="center" wrapText="1"/>
    </xf>
    <xf numFmtId="0" fontId="50" fillId="0" borderId="4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19" fillId="11" borderId="0" xfId="0" applyFont="1" applyFill="1" applyAlignment="1">
      <alignment horizontal="center" vertical="center" wrapText="1"/>
    </xf>
    <xf numFmtId="0" fontId="22" fillId="9" borderId="24" xfId="0" applyFont="1" applyFill="1" applyBorder="1" applyAlignment="1">
      <alignment horizontal="center" vertical="center" wrapText="1"/>
    </xf>
    <xf numFmtId="0" fontId="22" fillId="9" borderId="48"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48" fillId="0" borderId="14"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7"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3" xfId="0" applyFont="1" applyBorder="1" applyAlignment="1">
      <alignment horizontal="center" vertical="center" wrapText="1"/>
    </xf>
    <xf numFmtId="0" fontId="56" fillId="0" borderId="19" xfId="0" applyFont="1" applyBorder="1" applyAlignment="1">
      <alignment horizontal="left"/>
    </xf>
    <xf numFmtId="0" fontId="56" fillId="0" borderId="0" xfId="0" applyFont="1" applyAlignment="1">
      <alignment horizontal="left"/>
    </xf>
    <xf numFmtId="0" fontId="56" fillId="0" borderId="0" xfId="0" applyFont="1"/>
    <xf numFmtId="0" fontId="12" fillId="0" borderId="21" xfId="0" applyFont="1" applyBorder="1" applyAlignment="1">
      <alignment horizontal="left"/>
    </xf>
    <xf numFmtId="0" fontId="12" fillId="0" borderId="22" xfId="0" applyFont="1" applyBorder="1" applyAlignment="1">
      <alignment horizontal="left"/>
    </xf>
    <xf numFmtId="0" fontId="24" fillId="0" borderId="16" xfId="0" applyFont="1" applyBorder="1" applyAlignment="1">
      <alignment horizontal="left"/>
    </xf>
    <xf numFmtId="0" fontId="24" fillId="0" borderId="17" xfId="0" applyFont="1" applyBorder="1" applyAlignment="1">
      <alignment horizontal="left"/>
    </xf>
    <xf numFmtId="0" fontId="0" fillId="5" borderId="21" xfId="0" applyFill="1" applyBorder="1" applyAlignment="1" applyProtection="1">
      <alignment horizontal="left"/>
      <protection locked="0"/>
    </xf>
    <xf numFmtId="0" fontId="0" fillId="5" borderId="22" xfId="0" applyFill="1" applyBorder="1" applyAlignment="1" applyProtection="1">
      <alignment horizontal="left"/>
      <protection locked="0"/>
    </xf>
    <xf numFmtId="0" fontId="0" fillId="0" borderId="22" xfId="0" applyBorder="1" applyProtection="1">
      <protection locked="0"/>
    </xf>
    <xf numFmtId="2" fontId="24" fillId="0" borderId="16" xfId="0" applyNumberFormat="1" applyFont="1" applyBorder="1" applyAlignment="1">
      <alignment horizontal="left"/>
    </xf>
    <xf numFmtId="2" fontId="24" fillId="0" borderId="17" xfId="0" applyNumberFormat="1" applyFont="1" applyBorder="1" applyAlignment="1">
      <alignment horizontal="left"/>
    </xf>
    <xf numFmtId="2" fontId="0" fillId="0" borderId="17" xfId="0" applyNumberFormat="1" applyBorder="1"/>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58" fillId="0" borderId="0" xfId="0" applyFont="1" applyAlignment="1">
      <alignment vertical="center"/>
    </xf>
    <xf numFmtId="0" fontId="25" fillId="9" borderId="16" xfId="0" applyFont="1" applyFill="1" applyBorder="1" applyAlignment="1">
      <alignment vertical="top"/>
    </xf>
    <xf numFmtId="0" fontId="0" fillId="0" borderId="54" xfId="0" applyBorder="1" applyAlignment="1">
      <alignment vertical="top"/>
    </xf>
    <xf numFmtId="0" fontId="0" fillId="0" borderId="29" xfId="0" applyBorder="1" applyAlignment="1">
      <alignment vertical="top"/>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6" fontId="22" fillId="5" borderId="21" xfId="0" applyNumberFormat="1" applyFont="1" applyFill="1" applyBorder="1" applyAlignment="1" applyProtection="1">
      <alignment horizontal="left" vertical="center"/>
      <protection locked="0"/>
    </xf>
    <xf numFmtId="0" fontId="22" fillId="5" borderId="22" xfId="0" applyFont="1" applyFill="1" applyBorder="1" applyAlignment="1" applyProtection="1">
      <alignment horizontal="left" vertical="center"/>
      <protection locked="0"/>
    </xf>
    <xf numFmtId="0" fontId="22" fillId="5" borderId="23" xfId="0" applyFont="1" applyFill="1" applyBorder="1" applyAlignment="1" applyProtection="1">
      <alignment horizontal="left" vertical="center"/>
      <protection locked="0"/>
    </xf>
    <xf numFmtId="0" fontId="30" fillId="11" borderId="0" xfId="0" applyFont="1" applyFill="1" applyAlignment="1">
      <alignment horizontal="center" vertical="center" wrapText="1"/>
    </xf>
    <xf numFmtId="0" fontId="30" fillId="11" borderId="22" xfId="0" applyFont="1" applyFill="1" applyBorder="1" applyAlignment="1">
      <alignment horizontal="center" vertical="center" wrapText="1"/>
    </xf>
    <xf numFmtId="0" fontId="12" fillId="0" borderId="19"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3" fillId="0" borderId="0" xfId="133" applyFont="1" applyAlignment="1">
      <alignment horizontal="left"/>
    </xf>
    <xf numFmtId="0" fontId="37" fillId="11" borderId="0" xfId="133" applyFont="1" applyFill="1" applyAlignment="1">
      <alignment horizontal="center"/>
    </xf>
    <xf numFmtId="0" fontId="38" fillId="11" borderId="0" xfId="133" applyFont="1" applyFill="1" applyAlignment="1">
      <alignment horizontal="center"/>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29" fillId="5" borderId="9" xfId="0" applyFont="1" applyFill="1" applyBorder="1" applyAlignment="1" applyProtection="1">
      <alignment horizontal="left"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11" borderId="8"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10" xfId="0" applyBorder="1" applyAlignment="1">
      <alignment horizontal="center" vertical="center" wrapText="1"/>
    </xf>
    <xf numFmtId="0" fontId="29" fillId="0" borderId="19"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6" fillId="5" borderId="21" xfId="1089" applyFill="1" applyBorder="1" applyAlignment="1" applyProtection="1">
      <alignment horizontal="left" vertical="center" wrapText="1"/>
      <protection locked="0"/>
    </xf>
    <xf numFmtId="0" fontId="29" fillId="5" borderId="22" xfId="0" applyFont="1" applyFill="1" applyBorder="1" applyAlignment="1" applyProtection="1">
      <alignment horizontal="left" vertical="center" wrapText="1"/>
      <protection locked="0"/>
    </xf>
    <xf numFmtId="0" fontId="28" fillId="0" borderId="19" xfId="0" applyFont="1" applyBorder="1" applyAlignment="1">
      <alignment horizontal="left" vertical="center"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2" fillId="5" borderId="21"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5" borderId="23" xfId="0" applyFont="1" applyFill="1" applyBorder="1" applyAlignment="1" applyProtection="1">
      <alignment horizontal="left" vertical="center" wrapText="1"/>
      <protection locked="0"/>
    </xf>
    <xf numFmtId="0" fontId="15" fillId="9" borderId="24" xfId="0" applyFont="1" applyFill="1" applyBorder="1" applyAlignment="1">
      <alignment horizontal="center" vertical="center"/>
    </xf>
    <xf numFmtId="0" fontId="15" fillId="9" borderId="48" xfId="0" applyFont="1" applyFill="1" applyBorder="1" applyAlignment="1">
      <alignment horizontal="center" vertical="center"/>
    </xf>
    <xf numFmtId="0" fontId="15" fillId="9" borderId="25" xfId="0" applyFont="1" applyFill="1" applyBorder="1" applyAlignment="1">
      <alignment horizontal="center" vertical="center"/>
    </xf>
    <xf numFmtId="0" fontId="0" fillId="0" borderId="0" xfId="0" applyAlignment="1">
      <alignment horizontal="left" vertical="center"/>
    </xf>
    <xf numFmtId="0" fontId="0" fillId="0" borderId="20" xfId="0" applyBorder="1" applyAlignment="1">
      <alignment horizontal="left"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14" fillId="11" borderId="0" xfId="0" applyFont="1" applyFill="1" applyAlignment="1">
      <alignment horizontal="center" vertical="center"/>
    </xf>
    <xf numFmtId="0" fontId="16" fillId="9" borderId="24"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25" xfId="0" applyFont="1" applyFill="1" applyBorder="1" applyAlignment="1">
      <alignment horizontal="center" vertical="center"/>
    </xf>
    <xf numFmtId="0" fontId="12" fillId="0" borderId="20"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4" xfId="0" applyFont="1" applyBorder="1" applyAlignment="1">
      <alignment horizontal="center" vertical="center" wrapText="1"/>
    </xf>
    <xf numFmtId="0" fontId="13" fillId="0" borderId="0" xfId="951" applyFont="1" applyAlignment="1">
      <alignment horizontal="left"/>
    </xf>
    <xf numFmtId="0" fontId="37" fillId="11" borderId="0" xfId="951" applyFont="1" applyFill="1" applyAlignment="1">
      <alignment horizontal="center"/>
    </xf>
    <xf numFmtId="0" fontId="38" fillId="11" borderId="0" xfId="951" applyFont="1" applyFill="1" applyAlignment="1">
      <alignment horizontal="center"/>
    </xf>
  </cellXfs>
  <cellStyles count="1095">
    <cellStyle name="Comma" xfId="132" builtinId="3"/>
    <cellStyle name="Comma 2" xfId="412" xr:uid="{00000000-0005-0000-0000-000001000000}"/>
    <cellStyle name="Comma 3" xfId="950" xr:uid="{00000000-0005-0000-0000-000002000000}"/>
    <cellStyle name="Comma 3 2" xfId="1091" xr:uid="{C3913832-FD40-7349-AEE7-3274916B489B}"/>
    <cellStyle name="Comma 4" xfId="1030" xr:uid="{00000000-0005-0000-0000-000003000000}"/>
    <cellStyle name="Currency" xfId="131" builtinId="4"/>
    <cellStyle name="Currency 2" xfId="134" xr:uid="{00000000-0005-0000-0000-000005000000}"/>
    <cellStyle name="Currency 2 2" xfId="952" xr:uid="{00000000-0005-0000-0000-000006000000}"/>
    <cellStyle name="Currency 3" xfId="413" xr:uid="{00000000-0005-0000-0000-000007000000}"/>
    <cellStyle name="Currency 4" xfId="949" xr:uid="{00000000-0005-0000-0000-000008000000}"/>
    <cellStyle name="Currency 5" xfId="1092" xr:uid="{7D7CF8E0-A41D-C148-8191-85E86997D6BA}"/>
    <cellStyle name="Explanatory Text" xfId="1090" builtinId="53"/>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Grey" xfId="29" xr:uid="{00000000-0005-0000-0000-00002F020000}"/>
    <cellStyle name="Hyperlink" xfId="1" builtinId="8"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cellStyle name="Input [yellow]" xfId="30" xr:uid="{00000000-0005-0000-0000-00001D040000}"/>
    <cellStyle name="Normal" xfId="0" builtinId="0"/>
    <cellStyle name="Normal - Style1" xfId="31" xr:uid="{00000000-0005-0000-0000-00001F040000}"/>
    <cellStyle name="Normal 10 2 2" xfId="1093" xr:uid="{9DEB394D-797E-334E-8558-4F688FDEE709}"/>
    <cellStyle name="Normal 2" xfId="28" xr:uid="{00000000-0005-0000-0000-000020040000}"/>
    <cellStyle name="Normal 3" xfId="133" xr:uid="{00000000-0005-0000-0000-000021040000}"/>
    <cellStyle name="Normal 3 2" xfId="951" xr:uid="{00000000-0005-0000-0000-000022040000}"/>
    <cellStyle name="Normal 4" xfId="411" xr:uid="{00000000-0005-0000-0000-000023040000}"/>
    <cellStyle name="Normal 5" xfId="414" xr:uid="{00000000-0005-0000-0000-000024040000}"/>
    <cellStyle name="Normal 6" xfId="1094" xr:uid="{EDD3DC28-11FB-DA4B-8C3F-0F200D2FA1AA}"/>
    <cellStyle name="Percent" xfId="7" builtinId="5"/>
    <cellStyle name="Percent [2]" xfId="32" xr:uid="{00000000-0005-0000-0000-000026040000}"/>
    <cellStyle name="Percent 10" xfId="959" xr:uid="{00000000-0005-0000-0000-000027040000}"/>
    <cellStyle name="Percent 11" xfId="960" xr:uid="{00000000-0005-0000-0000-000028040000}"/>
    <cellStyle name="Percent 12" xfId="961" xr:uid="{00000000-0005-0000-0000-000029040000}"/>
    <cellStyle name="Percent 13" xfId="962" xr:uid="{00000000-0005-0000-0000-00002A040000}"/>
    <cellStyle name="Percent 14" xfId="963" xr:uid="{00000000-0005-0000-0000-00002B040000}"/>
    <cellStyle name="Percent 15" xfId="964" xr:uid="{00000000-0005-0000-0000-00002C040000}"/>
    <cellStyle name="Percent 16" xfId="965" xr:uid="{00000000-0005-0000-0000-00002D040000}"/>
    <cellStyle name="Percent 17" xfId="966" xr:uid="{00000000-0005-0000-0000-00002E040000}"/>
    <cellStyle name="Percent 18" xfId="967" xr:uid="{00000000-0005-0000-0000-00002F040000}"/>
    <cellStyle name="Percent 19" xfId="968" xr:uid="{00000000-0005-0000-0000-000030040000}"/>
    <cellStyle name="Percent 2" xfId="805" xr:uid="{00000000-0005-0000-0000-000031040000}"/>
    <cellStyle name="Percent 20" xfId="969" xr:uid="{00000000-0005-0000-0000-000032040000}"/>
    <cellStyle name="Percent 21" xfId="970" xr:uid="{00000000-0005-0000-0000-000033040000}"/>
    <cellStyle name="Percent 22" xfId="971" xr:uid="{00000000-0005-0000-0000-000034040000}"/>
    <cellStyle name="Percent 23" xfId="972" xr:uid="{00000000-0005-0000-0000-000035040000}"/>
    <cellStyle name="Percent 24" xfId="973" xr:uid="{00000000-0005-0000-0000-000036040000}"/>
    <cellStyle name="Percent 25" xfId="974" xr:uid="{00000000-0005-0000-0000-000037040000}"/>
    <cellStyle name="Percent 26" xfId="975" xr:uid="{00000000-0005-0000-0000-000038040000}"/>
    <cellStyle name="Percent 27" xfId="988" xr:uid="{00000000-0005-0000-0000-000039040000}"/>
    <cellStyle name="Percent 28" xfId="1029" xr:uid="{00000000-0005-0000-0000-00003A040000}"/>
    <cellStyle name="Percent 3" xfId="948" xr:uid="{00000000-0005-0000-0000-00003B040000}"/>
    <cellStyle name="Percent 4" xfId="953" xr:uid="{00000000-0005-0000-0000-00003C040000}"/>
    <cellStyle name="Percent 5" xfId="954" xr:uid="{00000000-0005-0000-0000-00003D040000}"/>
    <cellStyle name="Percent 6" xfId="955" xr:uid="{00000000-0005-0000-0000-00003E040000}"/>
    <cellStyle name="Percent 7" xfId="956" xr:uid="{00000000-0005-0000-0000-00003F040000}"/>
    <cellStyle name="Percent 8" xfId="957" xr:uid="{00000000-0005-0000-0000-000040040000}"/>
    <cellStyle name="Percent 9" xfId="958" xr:uid="{00000000-0005-0000-0000-000041040000}"/>
  </cellStyles>
  <dxfs count="23">
    <dxf>
      <font>
        <color theme="1"/>
      </font>
      <fill>
        <patternFill>
          <bgColor theme="9"/>
        </patternFill>
      </fill>
    </dxf>
    <dxf>
      <fill>
        <patternFill patternType="mediumGray">
          <fgColor auto="1"/>
          <bgColor auto="1"/>
        </patternFill>
      </fill>
    </dxf>
    <dxf>
      <font>
        <color theme="0" tint="-0.24994659260841701"/>
      </font>
      <fill>
        <patternFill patternType="solid">
          <fgColor theme="0" tint="-0.24994659260841701"/>
          <bgColor theme="0" tint="-0.24994659260841701"/>
        </patternFill>
      </fill>
      <border>
        <left/>
        <right/>
        <top/>
        <bottom/>
        <vertical/>
        <horizontal/>
      </border>
    </dxf>
    <dxf>
      <font>
        <color auto="1"/>
      </font>
      <fill>
        <patternFill patternType="mediumGray">
          <fgColor indexed="64"/>
          <bgColor indexed="65"/>
        </patternFill>
      </fill>
    </dxf>
    <dxf>
      <fill>
        <patternFill>
          <bgColor theme="9"/>
        </patternFill>
      </fill>
    </dxf>
    <dxf>
      <font>
        <u val="none"/>
        <color theme="0" tint="-0.24994659260841701"/>
      </font>
      <fill>
        <patternFill>
          <fgColor theme="0" tint="-0.24994659260841701"/>
          <bgColor theme="0" tint="-0.24994659260841701"/>
        </patternFill>
      </fill>
      <border>
        <left/>
        <right/>
        <top/>
        <bottom/>
        <vertical/>
        <horizontal/>
      </border>
    </dxf>
    <dxf>
      <font>
        <u val="none"/>
        <color theme="0" tint="-0.24994659260841701"/>
      </font>
      <fill>
        <patternFill>
          <fgColor theme="0" tint="-0.24994659260841701"/>
          <bgColor theme="0" tint="-0.24994659260841701"/>
        </patternFill>
      </fill>
      <border>
        <left/>
        <right/>
        <top/>
        <bottom/>
        <vertical/>
        <horizontal/>
      </border>
    </dxf>
    <dxf>
      <font>
        <color theme="0" tint="-0.24994659260841701"/>
      </font>
      <fill>
        <patternFill patternType="solid">
          <fgColor theme="0" tint="-0.24994659260841701"/>
          <bgColor theme="0" tint="-0.24994659260841701"/>
        </patternFill>
      </fill>
      <border>
        <left/>
        <right/>
        <top/>
        <bottom/>
        <vertical/>
        <horizontal/>
      </border>
    </dxf>
    <dxf>
      <font>
        <u val="none"/>
        <color theme="0" tint="-0.24994659260841701"/>
      </font>
      <fill>
        <patternFill>
          <fgColor theme="0" tint="-0.24994659260841701"/>
          <bgColor theme="0" tint="-0.24994659260841701"/>
        </patternFill>
      </fill>
      <border>
        <left/>
        <right/>
        <top/>
        <bottom/>
        <vertical/>
        <horizontal/>
      </border>
    </dxf>
    <dxf>
      <font>
        <color theme="0" tint="-0.24994659260841701"/>
      </font>
      <fill>
        <patternFill patternType="solid">
          <fgColor theme="0" tint="-0.24994659260841701"/>
          <bgColor theme="0" tint="-0.24994659260841701"/>
        </patternFill>
      </fill>
      <border>
        <left/>
        <right/>
        <top/>
        <bottom/>
        <vertical/>
        <horizontal/>
      </border>
    </dxf>
    <dxf>
      <font>
        <color theme="0" tint="-0.24994659260841701"/>
      </font>
      <fill>
        <patternFill patternType="solid">
          <fgColor theme="0" tint="-0.24994659260841701"/>
          <bgColor theme="0" tint="-0.24994659260841701"/>
        </patternFill>
      </fill>
      <border>
        <left/>
        <right/>
        <top/>
        <bottom/>
        <vertical/>
        <horizontal/>
      </border>
    </dxf>
    <dxf>
      <font>
        <color theme="0" tint="-0.24994659260841701"/>
      </font>
      <fill>
        <patternFill>
          <fgColor theme="0" tint="-0.24994659260841701"/>
          <bgColor theme="0" tint="-0.24994659260841701"/>
        </patternFill>
      </fill>
      <border>
        <left/>
        <right/>
        <top/>
        <bottom/>
      </border>
    </dxf>
    <dxf>
      <fill>
        <patternFill patternType="mediumGray">
          <bgColor theme="0"/>
        </patternFill>
      </fill>
      <border>
        <left/>
        <right/>
        <top/>
        <bottom/>
      </border>
    </dxf>
    <dxf>
      <font>
        <color rgb="FFFF0000"/>
      </font>
      <fill>
        <patternFill>
          <fgColor theme="0"/>
        </patternFill>
      </fill>
    </dxf>
    <dxf>
      <font>
        <color theme="0" tint="-0.24994659260841701"/>
      </font>
      <fill>
        <patternFill patternType="solid">
          <fgColor theme="0" tint="-0.24994659260841701"/>
          <bgColor theme="0" tint="-0.24994659260841701"/>
        </patternFill>
      </fill>
      <border>
        <left/>
        <right/>
        <top/>
        <bottom/>
      </border>
    </dxf>
    <dxf>
      <font>
        <color theme="0" tint="-0.24994659260841701"/>
      </font>
      <fill>
        <patternFill patternType="solid">
          <fgColor theme="0" tint="-0.24994659260841701"/>
          <bgColor theme="0" tint="-0.24994659260841701"/>
        </patternFill>
      </fill>
      <border>
        <left/>
        <right/>
        <top/>
        <bottom/>
      </border>
    </dxf>
    <dxf>
      <fill>
        <patternFill patternType="mediumGray">
          <bgColor theme="0"/>
        </patternFill>
      </fill>
      <border>
        <left/>
        <right/>
        <top/>
        <bottom/>
      </border>
    </dxf>
    <dxf>
      <fill>
        <patternFill>
          <bgColor rgb="FF00B050"/>
        </patternFill>
      </fill>
    </dxf>
    <dxf>
      <font>
        <color theme="0"/>
      </font>
      <fill>
        <patternFill patternType="solid">
          <fgColor indexed="64"/>
          <bgColor rgb="FF3366FF"/>
        </patternFill>
      </fill>
    </dxf>
    <dxf>
      <font>
        <color theme="0"/>
      </font>
      <fill>
        <patternFill patternType="solid">
          <fgColor indexed="64"/>
          <bgColor rgb="FF660066"/>
        </patternFill>
      </fill>
    </dxf>
    <dxf>
      <fill>
        <patternFill>
          <bgColor rgb="FF00B050"/>
        </patternFill>
      </fill>
    </dxf>
    <dxf>
      <font>
        <color theme="0"/>
      </font>
      <fill>
        <patternFill patternType="solid">
          <fgColor indexed="64"/>
          <bgColor rgb="FF3366FF"/>
        </patternFill>
      </fill>
    </dxf>
    <dxf>
      <font>
        <color theme="0"/>
      </font>
      <fill>
        <patternFill patternType="solid">
          <fgColor indexed="64"/>
          <bgColor rgb="FF660066"/>
        </patternFill>
      </fill>
    </dxf>
  </dxfs>
  <tableStyles count="0" defaultTableStyle="TableStyleMedium9" defaultPivotStyle="PivotStyleMedium4"/>
  <colors>
    <mruColors>
      <color rgb="FF2E3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518583</xdr:colOff>
      <xdr:row>1</xdr:row>
      <xdr:rowOff>2136</xdr:rowOff>
    </xdr:to>
    <xdr:pic>
      <xdr:nvPicPr>
        <xdr:cNvPr id="5" name="Picture 4">
          <a:extLst>
            <a:ext uri="{FF2B5EF4-FFF2-40B4-BE49-F238E27FC236}">
              <a16:creationId xmlns:a16="http://schemas.microsoft.com/office/drawing/2014/main" id="{FDD41109-9D09-4ADD-8DA1-A9E8FB14F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8583" cy="515021"/>
        </a:xfrm>
        <a:prstGeom prst="rect">
          <a:avLst/>
        </a:prstGeom>
      </xdr:spPr>
    </xdr:pic>
    <xdr:clientData/>
  </xdr:twoCellAnchor>
  <xdr:twoCellAnchor editAs="oneCell">
    <xdr:from>
      <xdr:col>2</xdr:col>
      <xdr:colOff>10580078</xdr:colOff>
      <xdr:row>0</xdr:row>
      <xdr:rowOff>0</xdr:rowOff>
    </xdr:from>
    <xdr:to>
      <xdr:col>2</xdr:col>
      <xdr:colOff>11098661</xdr:colOff>
      <xdr:row>1</xdr:row>
      <xdr:rowOff>2136</xdr:rowOff>
    </xdr:to>
    <xdr:pic>
      <xdr:nvPicPr>
        <xdr:cNvPr id="6" name="Picture 5">
          <a:extLst>
            <a:ext uri="{FF2B5EF4-FFF2-40B4-BE49-F238E27FC236}">
              <a16:creationId xmlns:a16="http://schemas.microsoft.com/office/drawing/2014/main" id="{EBFC2703-5CA5-411E-8C7A-7DBEF4BFB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4770" y="0"/>
          <a:ext cx="518583" cy="51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525191</xdr:colOff>
      <xdr:row>2</xdr:row>
      <xdr:rowOff>7282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18841" cy="516830"/>
        </a:xfrm>
        <a:prstGeom prst="rect">
          <a:avLst/>
        </a:prstGeom>
      </xdr:spPr>
    </xdr:pic>
    <xdr:clientData/>
  </xdr:twoCellAnchor>
  <xdr:twoCellAnchor editAs="oneCell">
    <xdr:from>
      <xdr:col>6</xdr:col>
      <xdr:colOff>2493036</xdr:colOff>
      <xdr:row>0</xdr:row>
      <xdr:rowOff>0</xdr:rowOff>
    </xdr:from>
    <xdr:to>
      <xdr:col>7</xdr:col>
      <xdr:colOff>10305</xdr:colOff>
      <xdr:row>2</xdr:row>
      <xdr:rowOff>1854</xdr:rowOff>
    </xdr:to>
    <xdr:pic>
      <xdr:nvPicPr>
        <xdr:cNvPr id="6" name="Picture 5">
          <a:extLst>
            <a:ext uri="{FF2B5EF4-FFF2-40B4-BE49-F238E27FC236}">
              <a16:creationId xmlns:a16="http://schemas.microsoft.com/office/drawing/2014/main" id="{DB0DE618-F04F-4D99-8D69-4CE2C1460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87203" y="0"/>
          <a:ext cx="516585" cy="513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727130</xdr:colOff>
      <xdr:row>0</xdr:row>
      <xdr:rowOff>0</xdr:rowOff>
    </xdr:from>
    <xdr:to>
      <xdr:col>8</xdr:col>
      <xdr:colOff>1257151</xdr:colOff>
      <xdr:row>1</xdr:row>
      <xdr:rowOff>257008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02036" y="0"/>
          <a:ext cx="519791" cy="516167"/>
        </a:xfrm>
        <a:prstGeom prst="rect">
          <a:avLst/>
        </a:prstGeom>
      </xdr:spPr>
    </xdr:pic>
    <xdr:clientData/>
  </xdr:twoCellAnchor>
  <xdr:twoCellAnchor editAs="oneCell">
    <xdr:from>
      <xdr:col>0</xdr:col>
      <xdr:colOff>11907</xdr:colOff>
      <xdr:row>0</xdr:row>
      <xdr:rowOff>0</xdr:rowOff>
    </xdr:from>
    <xdr:to>
      <xdr:col>0</xdr:col>
      <xdr:colOff>531698</xdr:colOff>
      <xdr:row>1</xdr:row>
      <xdr:rowOff>257008</xdr:rowOff>
    </xdr:to>
    <xdr:pic>
      <xdr:nvPicPr>
        <xdr:cNvPr id="5" name="Picture 4">
          <a:extLst>
            <a:ext uri="{FF2B5EF4-FFF2-40B4-BE49-F238E27FC236}">
              <a16:creationId xmlns:a16="http://schemas.microsoft.com/office/drawing/2014/main" id="{9776C9C5-914D-4C73-99B1-55BBA11B00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7" y="0"/>
          <a:ext cx="519791" cy="5161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517289</xdr:colOff>
      <xdr:row>2</xdr:row>
      <xdr:rowOff>2932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517288" cy="516548"/>
        </a:xfrm>
        <a:prstGeom prst="rect">
          <a:avLst/>
        </a:prstGeom>
      </xdr:spPr>
    </xdr:pic>
    <xdr:clientData/>
  </xdr:twoCellAnchor>
  <xdr:twoCellAnchor editAs="oneCell">
    <xdr:from>
      <xdr:col>4</xdr:col>
      <xdr:colOff>1216697</xdr:colOff>
      <xdr:row>0</xdr:row>
      <xdr:rowOff>0</xdr:rowOff>
    </xdr:from>
    <xdr:to>
      <xdr:col>5</xdr:col>
      <xdr:colOff>821</xdr:colOff>
      <xdr:row>2</xdr:row>
      <xdr:rowOff>2628</xdr:rowOff>
    </xdr:to>
    <xdr:pic>
      <xdr:nvPicPr>
        <xdr:cNvPr id="4" name="Picture 3">
          <a:extLst>
            <a:ext uri="{FF2B5EF4-FFF2-40B4-BE49-F238E27FC236}">
              <a16:creationId xmlns:a16="http://schemas.microsoft.com/office/drawing/2014/main" id="{6F25938A-8878-4A16-B74D-4B55BC21F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3467" y="0"/>
          <a:ext cx="519791" cy="517048"/>
        </a:xfrm>
        <a:prstGeom prst="rect">
          <a:avLst/>
        </a:prstGeom>
      </xdr:spPr>
    </xdr:pic>
    <xdr:clientData/>
  </xdr:twoCellAnchor>
  <xdr:twoCellAnchor editAs="oneCell">
    <xdr:from>
      <xdr:col>0</xdr:col>
      <xdr:colOff>0</xdr:colOff>
      <xdr:row>0</xdr:row>
      <xdr:rowOff>0</xdr:rowOff>
    </xdr:from>
    <xdr:to>
      <xdr:col>0</xdr:col>
      <xdr:colOff>526141</xdr:colOff>
      <xdr:row>2</xdr:row>
      <xdr:rowOff>2628</xdr:rowOff>
    </xdr:to>
    <xdr:pic>
      <xdr:nvPicPr>
        <xdr:cNvPr id="5" name="Picture 4">
          <a:extLst>
            <a:ext uri="{FF2B5EF4-FFF2-40B4-BE49-F238E27FC236}">
              <a16:creationId xmlns:a16="http://schemas.microsoft.com/office/drawing/2014/main" id="{C936E3F0-7686-4B74-AF8C-1D9E9B3BE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9791" cy="517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523874</xdr:colOff>
      <xdr:row>1</xdr:row>
      <xdr:rowOff>266699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3874" cy="533399"/>
        </a:xfrm>
        <a:prstGeom prst="rect">
          <a:avLst/>
        </a:prstGeom>
      </xdr:spPr>
    </xdr:pic>
    <xdr:clientData/>
  </xdr:twoCellAnchor>
  <xdr:twoCellAnchor editAs="oneCell">
    <xdr:from>
      <xdr:col>3</xdr:col>
      <xdr:colOff>1652059</xdr:colOff>
      <xdr:row>0</xdr:row>
      <xdr:rowOff>0</xdr:rowOff>
    </xdr:from>
    <xdr:to>
      <xdr:col>4</xdr:col>
      <xdr:colOff>3339</xdr:colOff>
      <xdr:row>1</xdr:row>
      <xdr:rowOff>274108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3659" y="0"/>
          <a:ext cx="535680" cy="545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523874</xdr:colOff>
      <xdr:row>2</xdr:row>
      <xdr:rowOff>2116</xdr:rowOff>
    </xdr:to>
    <xdr:pic>
      <xdr:nvPicPr>
        <xdr:cNvPr id="2" name="Picture 1">
          <a:extLst>
            <a:ext uri="{FF2B5EF4-FFF2-40B4-BE49-F238E27FC236}">
              <a16:creationId xmlns:a16="http://schemas.microsoft.com/office/drawing/2014/main" id="{873696D2-CCD2-4A4F-93C4-F695840F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3874" cy="533399"/>
        </a:xfrm>
        <a:prstGeom prst="rect">
          <a:avLst/>
        </a:prstGeom>
      </xdr:spPr>
    </xdr:pic>
    <xdr:clientData/>
  </xdr:twoCellAnchor>
  <xdr:twoCellAnchor editAs="oneCell">
    <xdr:from>
      <xdr:col>5</xdr:col>
      <xdr:colOff>1207559</xdr:colOff>
      <xdr:row>0</xdr:row>
      <xdr:rowOff>0</xdr:rowOff>
    </xdr:from>
    <xdr:to>
      <xdr:col>6</xdr:col>
      <xdr:colOff>1059</xdr:colOff>
      <xdr:row>2</xdr:row>
      <xdr:rowOff>1058</xdr:rowOff>
    </xdr:to>
    <xdr:pic>
      <xdr:nvPicPr>
        <xdr:cNvPr id="3" name="Picture 2">
          <a:extLst>
            <a:ext uri="{FF2B5EF4-FFF2-40B4-BE49-F238E27FC236}">
              <a16:creationId xmlns:a16="http://schemas.microsoft.com/office/drawing/2014/main" id="{76F7CB95-4591-4541-94FA-8CCA74F580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1459" y="0"/>
          <a:ext cx="529166" cy="53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523874</xdr:colOff>
      <xdr:row>2</xdr:row>
      <xdr:rowOff>2116</xdr:rowOff>
    </xdr:to>
    <xdr:pic>
      <xdr:nvPicPr>
        <xdr:cNvPr id="2" name="Picture 1">
          <a:extLst>
            <a:ext uri="{FF2B5EF4-FFF2-40B4-BE49-F238E27FC236}">
              <a16:creationId xmlns:a16="http://schemas.microsoft.com/office/drawing/2014/main" id="{093462EF-14EC-FC4C-B396-4E74E092C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3874" cy="533399"/>
        </a:xfrm>
        <a:prstGeom prst="rect">
          <a:avLst/>
        </a:prstGeom>
      </xdr:spPr>
    </xdr:pic>
    <xdr:clientData/>
  </xdr:twoCellAnchor>
  <xdr:twoCellAnchor editAs="oneCell">
    <xdr:from>
      <xdr:col>4</xdr:col>
      <xdr:colOff>2000717</xdr:colOff>
      <xdr:row>0</xdr:row>
      <xdr:rowOff>0</xdr:rowOff>
    </xdr:from>
    <xdr:to>
      <xdr:col>5</xdr:col>
      <xdr:colOff>8730</xdr:colOff>
      <xdr:row>1</xdr:row>
      <xdr:rowOff>262978</xdr:rowOff>
    </xdr:to>
    <xdr:pic>
      <xdr:nvPicPr>
        <xdr:cNvPr id="4" name="Picture 3">
          <a:extLst>
            <a:ext uri="{FF2B5EF4-FFF2-40B4-BE49-F238E27FC236}">
              <a16:creationId xmlns:a16="http://schemas.microsoft.com/office/drawing/2014/main" id="{F32D43C1-FEB6-4E68-8E05-0460AB73E5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05734" y="0"/>
          <a:ext cx="519791" cy="520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474345</xdr:colOff>
      <xdr:row>1</xdr:row>
      <xdr:rowOff>207645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85775" cy="485775"/>
        </a:xfrm>
        <a:prstGeom prst="rect">
          <a:avLst/>
        </a:prstGeom>
      </xdr:spPr>
    </xdr:pic>
    <xdr:clientData/>
  </xdr:twoCellAnchor>
  <xdr:twoCellAnchor editAs="oneCell">
    <xdr:from>
      <xdr:col>11</xdr:col>
      <xdr:colOff>1095376</xdr:colOff>
      <xdr:row>0</xdr:row>
      <xdr:rowOff>7952</xdr:rowOff>
    </xdr:from>
    <xdr:to>
      <xdr:col>12</xdr:col>
      <xdr:colOff>780</xdr:colOff>
      <xdr:row>2</xdr:row>
      <xdr:rowOff>11162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43376" y="7952"/>
          <a:ext cx="510896" cy="494753"/>
        </a:xfrm>
        <a:prstGeom prst="rect">
          <a:avLst/>
        </a:prstGeom>
      </xdr:spPr>
    </xdr:pic>
    <xdr:clientData/>
  </xdr:twoCellAnchor>
  <xdr:twoCellAnchor editAs="oneCell">
    <xdr:from>
      <xdr:col>0</xdr:col>
      <xdr:colOff>0</xdr:colOff>
      <xdr:row>0</xdr:row>
      <xdr:rowOff>3970</xdr:rowOff>
    </xdr:from>
    <xdr:to>
      <xdr:col>0</xdr:col>
      <xdr:colOff>515155</xdr:colOff>
      <xdr:row>2</xdr:row>
      <xdr:rowOff>424</xdr:rowOff>
    </xdr:to>
    <xdr:pic>
      <xdr:nvPicPr>
        <xdr:cNvPr id="5" name="Picture 4">
          <a:extLst>
            <a:ext uri="{FF2B5EF4-FFF2-40B4-BE49-F238E27FC236}">
              <a16:creationId xmlns:a16="http://schemas.microsoft.com/office/drawing/2014/main" id="{48D1BF8A-46DB-F447-93C7-69338A702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970"/>
          <a:ext cx="507535" cy="5000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6272</xdr:colOff>
      <xdr:row>0</xdr:row>
      <xdr:rowOff>0</xdr:rowOff>
    </xdr:from>
    <xdr:to>
      <xdr:col>0</xdr:col>
      <xdr:colOff>523018</xdr:colOff>
      <xdr:row>1</xdr:row>
      <xdr:rowOff>260058</xdr:rowOff>
    </xdr:to>
    <xdr:pic>
      <xdr:nvPicPr>
        <xdr:cNvPr id="5" name="Picture 4">
          <a:extLst>
            <a:ext uri="{FF2B5EF4-FFF2-40B4-BE49-F238E27FC236}">
              <a16:creationId xmlns:a16="http://schemas.microsoft.com/office/drawing/2014/main" id="{938E0284-7282-4D6F-BC29-C5023C4E3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72" y="0"/>
          <a:ext cx="516746" cy="516982"/>
        </a:xfrm>
        <a:prstGeom prst="rect">
          <a:avLst/>
        </a:prstGeom>
      </xdr:spPr>
    </xdr:pic>
    <xdr:clientData/>
  </xdr:twoCellAnchor>
  <xdr:twoCellAnchor editAs="oneCell">
    <xdr:from>
      <xdr:col>7</xdr:col>
      <xdr:colOff>975562</xdr:colOff>
      <xdr:row>0</xdr:row>
      <xdr:rowOff>0</xdr:rowOff>
    </xdr:from>
    <xdr:to>
      <xdr:col>8</xdr:col>
      <xdr:colOff>58</xdr:colOff>
      <xdr:row>1</xdr:row>
      <xdr:rowOff>260058</xdr:rowOff>
    </xdr:to>
    <xdr:pic>
      <xdr:nvPicPr>
        <xdr:cNvPr id="7" name="Picture 6">
          <a:extLst>
            <a:ext uri="{FF2B5EF4-FFF2-40B4-BE49-F238E27FC236}">
              <a16:creationId xmlns:a16="http://schemas.microsoft.com/office/drawing/2014/main" id="{6C36BF9F-00AA-4BD6-B656-2D3B8DF226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91562" y="0"/>
          <a:ext cx="516746" cy="5185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449766</xdr:colOff>
      <xdr:row>1</xdr:row>
      <xdr:rowOff>193476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449765" cy="450204"/>
        </a:xfrm>
        <a:prstGeom prst="rect">
          <a:avLst/>
        </a:prstGeom>
      </xdr:spPr>
    </xdr:pic>
    <xdr:clientData/>
  </xdr:twoCellAnchor>
  <xdr:twoCellAnchor editAs="oneCell">
    <xdr:from>
      <xdr:col>43</xdr:col>
      <xdr:colOff>844598</xdr:colOff>
      <xdr:row>0</xdr:row>
      <xdr:rowOff>0</xdr:rowOff>
    </xdr:from>
    <xdr:to>
      <xdr:col>43</xdr:col>
      <xdr:colOff>1289447</xdr:colOff>
      <xdr:row>1</xdr:row>
      <xdr:rowOff>191723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09520" y="0"/>
          <a:ext cx="444849" cy="448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8121</xdr:colOff>
      <xdr:row>0</xdr:row>
      <xdr:rowOff>1</xdr:rowOff>
    </xdr:from>
    <xdr:to>
      <xdr:col>0</xdr:col>
      <xdr:colOff>531202</xdr:colOff>
      <xdr:row>1</xdr:row>
      <xdr:rowOff>255503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1" y="1"/>
          <a:ext cx="523081" cy="511944"/>
        </a:xfrm>
        <a:prstGeom prst="rect">
          <a:avLst/>
        </a:prstGeom>
      </xdr:spPr>
    </xdr:pic>
    <xdr:clientData/>
  </xdr:twoCellAnchor>
  <xdr:twoCellAnchor editAs="oneCell">
    <xdr:from>
      <xdr:col>32</xdr:col>
      <xdr:colOff>303580</xdr:colOff>
      <xdr:row>0</xdr:row>
      <xdr:rowOff>3542</xdr:rowOff>
    </xdr:from>
    <xdr:to>
      <xdr:col>32</xdr:col>
      <xdr:colOff>832401</xdr:colOff>
      <xdr:row>1</xdr:row>
      <xdr:rowOff>256443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133941" y="3542"/>
          <a:ext cx="528821" cy="509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0</xdr:col>
      <xdr:colOff>542925</xdr:colOff>
      <xdr:row>2</xdr:row>
      <xdr:rowOff>0</xdr:rowOff>
    </xdr:to>
    <xdr:pic>
      <xdr:nvPicPr>
        <xdr:cNvPr id="2" name="Picture 1">
          <a:extLst>
            <a:ext uri="{FF2B5EF4-FFF2-40B4-BE49-F238E27FC236}">
              <a16:creationId xmlns:a16="http://schemas.microsoft.com/office/drawing/2014/main" id="{7C4C8E9F-76E3-7F4C-AD74-D2E59451C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0"/>
          <a:ext cx="530225" cy="546100"/>
        </a:xfrm>
        <a:prstGeom prst="rect">
          <a:avLst/>
        </a:prstGeom>
      </xdr:spPr>
    </xdr:pic>
    <xdr:clientData/>
  </xdr:twoCellAnchor>
  <xdr:oneCellAnchor>
    <xdr:from>
      <xdr:col>19</xdr:col>
      <xdr:colOff>272143</xdr:colOff>
      <xdr:row>0</xdr:row>
      <xdr:rowOff>27819</xdr:rowOff>
    </xdr:from>
    <xdr:ext cx="523573" cy="509966"/>
    <xdr:pic>
      <xdr:nvPicPr>
        <xdr:cNvPr id="3" name="Picture 2">
          <a:extLst>
            <a:ext uri="{FF2B5EF4-FFF2-40B4-BE49-F238E27FC236}">
              <a16:creationId xmlns:a16="http://schemas.microsoft.com/office/drawing/2014/main" id="{176AC9A1-B7A2-3249-83D0-B377055D1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38143" y="27819"/>
          <a:ext cx="523573" cy="50996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7808</xdr:colOff>
      <xdr:row>0</xdr:row>
      <xdr:rowOff>1</xdr:rowOff>
    </xdr:from>
    <xdr:to>
      <xdr:col>0</xdr:col>
      <xdr:colOff>523850</xdr:colOff>
      <xdr:row>1</xdr:row>
      <xdr:rowOff>257644</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8" y="1"/>
          <a:ext cx="516042" cy="515286"/>
        </a:xfrm>
        <a:prstGeom prst="rect">
          <a:avLst/>
        </a:prstGeom>
      </xdr:spPr>
    </xdr:pic>
    <xdr:clientData/>
  </xdr:twoCellAnchor>
  <xdr:twoCellAnchor editAs="oneCell">
    <xdr:from>
      <xdr:col>13</xdr:col>
      <xdr:colOff>655820</xdr:colOff>
      <xdr:row>0</xdr:row>
      <xdr:rowOff>1</xdr:rowOff>
    </xdr:from>
    <xdr:to>
      <xdr:col>13</xdr:col>
      <xdr:colOff>1177924</xdr:colOff>
      <xdr:row>1</xdr:row>
      <xdr:rowOff>256556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25881" y="1"/>
          <a:ext cx="522104" cy="51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qv2/Desktop/Desktop%20Folders/DOE%20IDIQ/PA%202023%20Template/PA%20Template%20Unlocked%20ePB_Calculating_Data_Template-unlocked_3.3.4%2003202024.xlsx" TargetMode="External"/><Relationship Id="rId1" Type="http://schemas.openxmlformats.org/officeDocument/2006/relationships/externalLinkPath" Target="file:///C:/Users/qv2/Desktop/Desktop%20Folders/DOE%20IDIQ/PA%202023%20Template/PA%20Template%20Unlocked%20ePB_Calculating_Data_Template-unlocked_3.3.4%2003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Guide"/>
      <sheetName val="Summary Schedule"/>
      <sheetName val="Amortization-HIDDEN"/>
      <sheetName val="Itemized Costs-HIDDEN"/>
      <sheetName val="Annual Escalation Rates"/>
      <sheetName val="Sch1-Ann Cost Sav &amp; Pymts"/>
      <sheetName val="Sch1u-Ann Cost Sav &amp; Pymts"/>
      <sheetName val="Sch1ee-Ann Cost Sav &amp; Pymts"/>
      <sheetName val="Sch1esa-ESA Pymts"/>
      <sheetName val="Sch2a-Imp Price by ECM"/>
      <sheetName val="Sch2b-Project Imp Pricing"/>
      <sheetName val="Sch3-Perf Period Cash Flow"/>
      <sheetName val="Sch4-Cost Savings by ECM"/>
      <sheetName val="Sch4g-GHG"/>
      <sheetName val="Sch5-Cancellation Ceilings"/>
      <sheetName val="Sheet1"/>
      <sheetName val="Sheet2"/>
      <sheetName val="Sheet3"/>
      <sheetName val="GHG Emissions"/>
      <sheetName val="eGRID subregion name"/>
      <sheetName val="ECM"/>
      <sheetName val="Amortization-HIDDEN-Q"/>
      <sheetName val="Amortization-HIDDEN-B"/>
      <sheetName val="Amortization-HIDDEN-M"/>
      <sheetName val="Scratch Sheet-1"/>
      <sheetName val="Scratch Sheet-2"/>
      <sheetName val="Scratch Sheet-3"/>
      <sheetName val="Scratch Sheet-4"/>
      <sheetName val="Scratch Sheet-5"/>
    </sheetNames>
    <sheetDataSet>
      <sheetData sheetId="0"/>
      <sheetData sheetId="1"/>
      <sheetData sheetId="2"/>
      <sheetData sheetId="3"/>
      <sheetData sheetId="4"/>
      <sheetData sheetId="5"/>
      <sheetData sheetId="6"/>
      <sheetData sheetId="7"/>
      <sheetData sheetId="8"/>
      <sheetData sheetId="9">
        <row r="9">
          <cell r="A9" t="str">
            <v>Boiler Plant Improvements</v>
          </cell>
          <cell r="C9" t="str">
            <v>No</v>
          </cell>
        </row>
        <row r="10">
          <cell r="A10" t="str">
            <v>Building Automation Systems/Energy Management Control Systems</v>
          </cell>
          <cell r="C10" t="str">
            <v>No</v>
          </cell>
        </row>
        <row r="11">
          <cell r="A11" t="str">
            <v>Lighting Improvements</v>
          </cell>
          <cell r="C11" t="str">
            <v>No</v>
          </cell>
        </row>
        <row r="12">
          <cell r="A12" t="str">
            <v>Building Envelope Modifications</v>
          </cell>
          <cell r="C12" t="str">
            <v>No</v>
          </cell>
        </row>
        <row r="13">
          <cell r="A13" t="str">
            <v>Renewable Energy Systems</v>
          </cell>
          <cell r="C13" t="str">
            <v>No</v>
          </cell>
        </row>
        <row r="14">
          <cell r="A14" t="str">
            <v>Water and Sewer Conservation Systems</v>
          </cell>
          <cell r="C14" t="str">
            <v>No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projectbuilder.lbl.gov/ho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8" Type="http://schemas.openxmlformats.org/officeDocument/2006/relationships/hyperlink" Target="http://www.epa.gov/climatechange/emissions/downloads09/GHG-MRR-Full%20Version.pdf" TargetMode="External"/><Relationship Id="rId13" Type="http://schemas.openxmlformats.org/officeDocument/2006/relationships/hyperlink" Target="http://www.epa.gov/climateleadership/documents/emission-factors.pdf" TargetMode="External"/><Relationship Id="rId3" Type="http://schemas.openxmlformats.org/officeDocument/2006/relationships/hyperlink" Target="http://www.epa.gov/climatechange/emissions/downloads09/GHG-MRR-Full%20Version.pdf" TargetMode="External"/><Relationship Id="rId7" Type="http://schemas.openxmlformats.org/officeDocument/2006/relationships/hyperlink" Target="http://www.epa.gov/climatechange/emissions/downloads09/GHG-MRR-Full%20Version.pdf" TargetMode="External"/><Relationship Id="rId12" Type="http://schemas.openxmlformats.org/officeDocument/2006/relationships/hyperlink" Target="http://www.epa.gov/ghgreporting/documents/pdf/2009/GHG-MRR-FinalRule.pdf" TargetMode="External"/><Relationship Id="rId2" Type="http://schemas.openxmlformats.org/officeDocument/2006/relationships/hyperlink" Target="http://www.epa.gov/climatechange/emissions/downloads09/GHG-MRR-Full%20Version.pdf" TargetMode="External"/><Relationship Id="rId16" Type="http://schemas.openxmlformats.org/officeDocument/2006/relationships/comments" Target="../comments1.xml"/><Relationship Id="rId1" Type="http://schemas.openxmlformats.org/officeDocument/2006/relationships/hyperlink" Target="http://www.epa.gov/climateleadership/documents/emission-factors.pdf" TargetMode="External"/><Relationship Id="rId6" Type="http://schemas.openxmlformats.org/officeDocument/2006/relationships/hyperlink" Target="http://www.epa.gov/climatechange/emissions/downloads09/GHG-MRR-Full%20Version.pdf" TargetMode="External"/><Relationship Id="rId11" Type="http://schemas.openxmlformats.org/officeDocument/2006/relationships/hyperlink" Target="http://www.epa.gov/ghgreporting/documents/pdf/2009/GHG-MRR-FinalRule.pdf" TargetMode="External"/><Relationship Id="rId5" Type="http://schemas.openxmlformats.org/officeDocument/2006/relationships/hyperlink" Target="http://www.epa.gov/climatechange/emissions/downloads09/GHG-MRR-Full%20Version.pdf" TargetMode="External"/><Relationship Id="rId15" Type="http://schemas.openxmlformats.org/officeDocument/2006/relationships/vmlDrawing" Target="../drawings/vmlDrawing1.vml"/><Relationship Id="rId10" Type="http://schemas.openxmlformats.org/officeDocument/2006/relationships/hyperlink" Target="http://www.epa.gov/climatechange/emissions/downloads09/GHG-MRR-Full%20Version.pdf" TargetMode="External"/><Relationship Id="rId4" Type="http://schemas.openxmlformats.org/officeDocument/2006/relationships/hyperlink" Target="http://www.epa.gov/climatechange/emissions/downloads09/GHG-MRR-Full%20Version.pdf" TargetMode="External"/><Relationship Id="rId9" Type="http://schemas.openxmlformats.org/officeDocument/2006/relationships/hyperlink" Target="http://www.epa.gov/climatechange/emissions/downloads09/GHG-MRR-Full%20Version.pdf" TargetMode="External"/><Relationship Id="rId14" Type="http://schemas.openxmlformats.org/officeDocument/2006/relationships/hyperlink" Target="http://www.epa.gov/climateleadership/documents/emission-factor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D24"/>
  <sheetViews>
    <sheetView tabSelected="1" zoomScale="70" zoomScaleNormal="70" workbookViewId="0">
      <selection activeCell="C14" sqref="C14"/>
    </sheetView>
  </sheetViews>
  <sheetFormatPr baseColWidth="10" defaultColWidth="11" defaultRowHeight="16"/>
  <cols>
    <col min="1" max="1" width="39.5" customWidth="1"/>
    <col min="2" max="2" width="30" customWidth="1"/>
    <col min="3" max="3" width="145.5" customWidth="1"/>
    <col min="4" max="4" width="30" customWidth="1"/>
  </cols>
  <sheetData>
    <row r="1" spans="1:4" ht="41.25" customHeight="1">
      <c r="A1" s="502" t="s">
        <v>387</v>
      </c>
      <c r="B1" s="502"/>
      <c r="C1" s="502"/>
    </row>
    <row r="2" spans="1:4" ht="17">
      <c r="A2" s="301" t="s">
        <v>350</v>
      </c>
      <c r="B2" s="301" t="s">
        <v>351</v>
      </c>
      <c r="C2" s="302" t="s">
        <v>273</v>
      </c>
    </row>
    <row r="3" spans="1:4" ht="34">
      <c r="A3" s="503" t="s">
        <v>360</v>
      </c>
      <c r="B3" s="505" t="s">
        <v>352</v>
      </c>
      <c r="C3" s="366" t="s">
        <v>365</v>
      </c>
    </row>
    <row r="4" spans="1:4" ht="17">
      <c r="A4" s="503"/>
      <c r="B4" s="506"/>
      <c r="C4" s="367" t="s">
        <v>339</v>
      </c>
    </row>
    <row r="5" spans="1:4" ht="17">
      <c r="A5" s="503"/>
      <c r="B5" s="506"/>
      <c r="C5" s="367" t="s">
        <v>340</v>
      </c>
    </row>
    <row r="6" spans="1:4" ht="17">
      <c r="A6" s="503"/>
      <c r="B6" s="506"/>
      <c r="C6" s="367" t="s">
        <v>341</v>
      </c>
    </row>
    <row r="7" spans="1:4" ht="17">
      <c r="A7" s="503"/>
      <c r="B7" s="506"/>
      <c r="C7" s="367" t="s">
        <v>342</v>
      </c>
    </row>
    <row r="8" spans="1:4" ht="17">
      <c r="A8" s="503"/>
      <c r="B8" s="506"/>
      <c r="C8" s="367" t="s">
        <v>343</v>
      </c>
    </row>
    <row r="9" spans="1:4" ht="51">
      <c r="A9" s="364" t="s">
        <v>344</v>
      </c>
      <c r="B9" s="362" t="s">
        <v>352</v>
      </c>
      <c r="C9" s="300" t="s">
        <v>371</v>
      </c>
    </row>
    <row r="10" spans="1:4" ht="93.75" customHeight="1">
      <c r="A10" s="364" t="s">
        <v>346</v>
      </c>
      <c r="B10" s="363" t="s">
        <v>381</v>
      </c>
      <c r="C10" s="300" t="s">
        <v>388</v>
      </c>
      <c r="D10" s="347"/>
    </row>
    <row r="11" spans="1:4" ht="34">
      <c r="A11" s="365" t="s">
        <v>347</v>
      </c>
      <c r="B11" s="356" t="s">
        <v>370</v>
      </c>
      <c r="C11" s="357" t="s">
        <v>380</v>
      </c>
    </row>
    <row r="12" spans="1:4" ht="51">
      <c r="A12" s="365" t="s">
        <v>400</v>
      </c>
      <c r="B12" s="356" t="s">
        <v>419</v>
      </c>
      <c r="C12" s="357" t="s">
        <v>403</v>
      </c>
    </row>
    <row r="13" spans="1:4" ht="51">
      <c r="A13" s="365" t="s">
        <v>401</v>
      </c>
      <c r="B13" s="356" t="s">
        <v>419</v>
      </c>
      <c r="C13" s="357" t="s">
        <v>404</v>
      </c>
    </row>
    <row r="14" spans="1:4" ht="34">
      <c r="A14" s="364" t="s">
        <v>348</v>
      </c>
      <c r="B14" s="362" t="s">
        <v>352</v>
      </c>
      <c r="C14" s="300" t="s">
        <v>372</v>
      </c>
      <c r="D14" s="347"/>
    </row>
    <row r="15" spans="1:4" ht="34">
      <c r="A15" s="364" t="s">
        <v>361</v>
      </c>
      <c r="B15" s="363" t="s">
        <v>382</v>
      </c>
      <c r="C15" s="351" t="s">
        <v>373</v>
      </c>
    </row>
    <row r="16" spans="1:4" ht="17">
      <c r="A16" s="504" t="s">
        <v>349</v>
      </c>
      <c r="B16" s="507" t="s">
        <v>352</v>
      </c>
      <c r="C16" s="300" t="s">
        <v>374</v>
      </c>
    </row>
    <row r="17" spans="1:3" ht="51">
      <c r="A17" s="504"/>
      <c r="B17" s="508"/>
      <c r="C17" s="300" t="s">
        <v>375</v>
      </c>
    </row>
    <row r="18" spans="1:3" ht="51">
      <c r="A18" s="504"/>
      <c r="B18" s="508"/>
      <c r="C18" s="300" t="s">
        <v>345</v>
      </c>
    </row>
    <row r="19" spans="1:3" ht="51">
      <c r="A19" s="364" t="s">
        <v>362</v>
      </c>
      <c r="B19" s="362" t="s">
        <v>352</v>
      </c>
      <c r="C19" s="349" t="s">
        <v>376</v>
      </c>
    </row>
    <row r="20" spans="1:3" ht="51">
      <c r="A20" s="364" t="s">
        <v>592</v>
      </c>
      <c r="B20" s="362" t="s">
        <v>352</v>
      </c>
      <c r="C20" s="349" t="s">
        <v>593</v>
      </c>
    </row>
    <row r="21" spans="1:3" ht="17">
      <c r="A21" s="364" t="s">
        <v>363</v>
      </c>
      <c r="B21" s="350" t="s">
        <v>364</v>
      </c>
      <c r="C21" s="300" t="s">
        <v>377</v>
      </c>
    </row>
    <row r="22" spans="1:3" s="4" customFormat="1">
      <c r="A22" s="501" t="s">
        <v>359</v>
      </c>
      <c r="B22" s="501"/>
      <c r="C22" s="501"/>
    </row>
    <row r="24" spans="1:3">
      <c r="C24" s="348"/>
    </row>
  </sheetData>
  <sheetProtection algorithmName="SHA-512" hashValue="NW9KHHlSOmOlh3fwOEUSelfD7Dj1PMebIJBclkK8Z0XduMz0yLiF7ShorD+uPTaCjt+gWaG4NG0iGwnvll1TlQ==" saltValue="rMY6k+3YSgFVvp/2HGjIfg==" spinCount="100000" sheet="1" objects="1" scenarios="1"/>
  <mergeCells count="6">
    <mergeCell ref="A22:C22"/>
    <mergeCell ref="A1:C1"/>
    <mergeCell ref="A3:A8"/>
    <mergeCell ref="A16:A18"/>
    <mergeCell ref="B3:B8"/>
    <mergeCell ref="B16:B18"/>
  </mergeCells>
  <phoneticPr fontId="5" type="noConversion"/>
  <hyperlinks>
    <hyperlink ref="A22" r:id="rId1" location="/help" display="/help" xr:uid="{00000000-0004-0000-0000-000000000000}"/>
    <hyperlink ref="A3:A8" location="'Summary Schedule'!A1" display="Summary Schedule" xr:uid="{00000000-0004-0000-0000-000001000000}"/>
    <hyperlink ref="A9" location="'Annual Escalation Rates'!A1" display="Annual Escalation Rates" xr:uid="{00000000-0004-0000-0000-000002000000}"/>
    <hyperlink ref="A10" location="'Sch1-Ann Cost Sav &amp; Pymts'!A1" display="Sch1-Ann Cost Sav &amp; Pymts" xr:uid="{00000000-0004-0000-0000-000003000000}"/>
    <hyperlink ref="A11" location="'Sch1u-Ann Cost Sav &amp; Pymts-UESC'!A1" display="Sch1u-Ann Cost Sav &amp; Pymts-UESC" xr:uid="{00000000-0004-0000-0000-000004000000}"/>
    <hyperlink ref="A14" location="'Sch2a-Imp Price by ECM'!A1" display="Sch2a-Imp Price by ECM" xr:uid="{00000000-0004-0000-0000-000005000000}"/>
    <hyperlink ref="A15" location="'Sch2b-Project Imp Pricing'!A1" display="Sch2b-Project Imp Pricing" xr:uid="{00000000-0004-0000-0000-000006000000}"/>
    <hyperlink ref="A16:A18" location="'Sch3-Perf Period Cash Flow'!A1" display="Sch3-Perf Period Cash Flow" xr:uid="{00000000-0004-0000-0000-000007000000}"/>
    <hyperlink ref="A19" location="'Sch4-Cost Savings by ECM'!A1" display="Sch4-Cost Savings by ECM" xr:uid="{00000000-0004-0000-0000-000008000000}"/>
    <hyperlink ref="A21" location="'Sch5-Cancellation Ceilings'!A1" display="Sch5-Cancellation Ceilings" xr:uid="{00000000-0004-0000-0000-000009000000}"/>
    <hyperlink ref="A20" location="'Sch4g-GHG'!A1" display="Sch4g-GHG" xr:uid="{2142B8B3-AAC5-6242-8D00-60902115FD5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4"/>
  <sheetViews>
    <sheetView zoomScale="90" zoomScaleNormal="90" workbookViewId="0">
      <selection activeCell="A4" sqref="A4"/>
    </sheetView>
  </sheetViews>
  <sheetFormatPr baseColWidth="10" defaultColWidth="11" defaultRowHeight="16"/>
  <cols>
    <col min="1" max="1" width="17.33203125" style="20" customWidth="1"/>
    <col min="2" max="2" width="32.5" style="20" bestFit="1" customWidth="1"/>
    <col min="3" max="3" width="31.83203125" style="20" customWidth="1"/>
    <col min="4" max="4" width="29" style="20" customWidth="1"/>
    <col min="5" max="5" width="21.83203125" style="20" customWidth="1"/>
    <col min="6" max="6" width="32.33203125" style="20" customWidth="1"/>
    <col min="7" max="7" width="39.33203125" style="20" customWidth="1"/>
    <col min="8" max="8" width="14" style="20" customWidth="1"/>
    <col min="9" max="16384" width="11" style="20"/>
  </cols>
  <sheetData>
    <row r="1" spans="1:10" ht="21">
      <c r="A1" s="512" t="str">
        <f>"SUMMARY SCHEDULE"</f>
        <v>SUMMARY SCHEDULE</v>
      </c>
      <c r="B1" s="513"/>
      <c r="C1" s="513"/>
      <c r="D1" s="513"/>
      <c r="E1" s="513"/>
      <c r="F1" s="513"/>
      <c r="G1" s="514"/>
      <c r="H1" s="200"/>
      <c r="I1" s="182"/>
      <c r="J1" s="182"/>
    </row>
    <row r="2" spans="1:10" ht="22" thickBot="1">
      <c r="A2" s="515" t="s">
        <v>70</v>
      </c>
      <c r="B2" s="516"/>
      <c r="C2" s="516"/>
      <c r="D2" s="516"/>
      <c r="E2" s="516"/>
      <c r="F2" s="516"/>
      <c r="G2" s="517"/>
      <c r="H2" s="200"/>
      <c r="I2" s="182"/>
      <c r="J2" s="182"/>
    </row>
    <row r="3" spans="1:10" ht="19" thickBot="1">
      <c r="A3" s="52"/>
      <c r="B3" s="53"/>
      <c r="C3" s="53"/>
      <c r="D3" s="53"/>
      <c r="E3" s="53"/>
      <c r="F3" s="53"/>
      <c r="G3" s="54"/>
      <c r="H3" s="201"/>
      <c r="I3" s="182"/>
      <c r="J3" s="182"/>
    </row>
    <row r="4" spans="1:10" ht="35" thickBot="1">
      <c r="A4" s="355" t="s">
        <v>369</v>
      </c>
      <c r="B4" s="416" t="s">
        <v>420</v>
      </c>
      <c r="C4" s="296" t="s">
        <v>609</v>
      </c>
      <c r="D4" s="419" t="str">
        <f>IF(C4="ESA", IF((COUNTIF('Sch2a-Imp Price by ECM'!C9:C258,"Yes")&gt;0),"","At least one ECM must be marked as an ESA on Schedule 2a, and isn't currently"),"")</f>
        <v/>
      </c>
      <c r="E4" s="61"/>
      <c r="F4" s="61"/>
      <c r="G4" s="61"/>
      <c r="H4" s="201"/>
      <c r="I4" s="182"/>
      <c r="J4" s="182"/>
    </row>
    <row r="5" spans="1:10" ht="19" thickBot="1">
      <c r="A5" s="63"/>
      <c r="B5" s="61"/>
      <c r="C5" s="61"/>
      <c r="D5" s="61"/>
      <c r="E5" s="61"/>
      <c r="F5" s="61"/>
      <c r="G5" s="61"/>
      <c r="H5" s="201"/>
      <c r="I5" s="182"/>
      <c r="J5" s="182"/>
    </row>
    <row r="6" spans="1:10" ht="19" thickBot="1">
      <c r="A6" s="509" t="s">
        <v>88</v>
      </c>
      <c r="B6" s="56" t="s">
        <v>232</v>
      </c>
      <c r="C6" s="56" t="s">
        <v>233</v>
      </c>
      <c r="D6" s="56" t="s">
        <v>234</v>
      </c>
      <c r="E6" s="56" t="s">
        <v>235</v>
      </c>
      <c r="F6" s="56" t="s">
        <v>236</v>
      </c>
      <c r="G6" s="56" t="s">
        <v>237</v>
      </c>
      <c r="H6" s="55"/>
      <c r="I6" s="55"/>
    </row>
    <row r="7" spans="1:10" ht="42.75" customHeight="1" thickBot="1">
      <c r="A7" s="510"/>
      <c r="B7" s="57" t="s">
        <v>157</v>
      </c>
      <c r="C7" s="271" t="s">
        <v>633</v>
      </c>
      <c r="D7" s="271"/>
      <c r="E7" s="258"/>
      <c r="F7" s="259"/>
      <c r="G7" s="257"/>
      <c r="H7" s="55"/>
      <c r="I7" s="55"/>
    </row>
    <row r="8" spans="1:10" ht="42.75" customHeight="1" thickBot="1">
      <c r="A8" s="510"/>
      <c r="B8" s="58" t="s">
        <v>417</v>
      </c>
      <c r="C8" s="271" t="s">
        <v>634</v>
      </c>
      <c r="D8" s="271"/>
      <c r="E8" s="258"/>
      <c r="F8" s="259"/>
      <c r="G8" s="257"/>
      <c r="H8" s="55"/>
      <c r="I8" s="55"/>
    </row>
    <row r="9" spans="1:10" ht="41.25" customHeight="1" thickBot="1">
      <c r="A9" s="510"/>
      <c r="B9" s="59" t="str">
        <f>IF(C4="UESC", "Utility","Contractor")</f>
        <v>Contractor</v>
      </c>
      <c r="C9" s="271" t="s">
        <v>635</v>
      </c>
      <c r="D9" s="271"/>
      <c r="E9" s="258"/>
      <c r="F9" s="259"/>
      <c r="G9" s="257"/>
      <c r="H9" s="55"/>
      <c r="I9" s="55"/>
    </row>
    <row r="10" spans="1:10" ht="45" customHeight="1" thickBot="1">
      <c r="A10" s="510"/>
      <c r="B10" s="59" t="str">
        <f>IF(C4="UESC", "Primary FEMP Contact","Finance Specialist")</f>
        <v>Finance Specialist</v>
      </c>
      <c r="C10" s="271" t="s">
        <v>636</v>
      </c>
      <c r="D10" s="271"/>
      <c r="E10" s="258"/>
      <c r="F10" s="259"/>
      <c r="G10" s="257"/>
      <c r="H10" s="55"/>
    </row>
    <row r="11" spans="1:10" ht="40.5" customHeight="1" thickBot="1">
      <c r="A11" s="511"/>
      <c r="B11" s="59" t="s">
        <v>139</v>
      </c>
      <c r="C11" s="271" t="s">
        <v>637</v>
      </c>
      <c r="D11" s="271"/>
      <c r="E11" s="258"/>
      <c r="F11" s="259"/>
      <c r="G11" s="257"/>
      <c r="H11" s="55"/>
    </row>
    <row r="12" spans="1:10" ht="19" thickBot="1">
      <c r="A12" s="60"/>
      <c r="B12" s="61"/>
      <c r="C12" s="61"/>
      <c r="D12" s="61"/>
      <c r="E12" s="61"/>
      <c r="F12" s="61"/>
      <c r="G12" s="62"/>
      <c r="H12" s="55"/>
    </row>
    <row r="13" spans="1:10" ht="18" customHeight="1" thickBot="1">
      <c r="A13" s="509" t="s">
        <v>90</v>
      </c>
      <c r="B13" s="520" t="s">
        <v>238</v>
      </c>
      <c r="C13" s="522"/>
      <c r="D13" s="63"/>
      <c r="E13" s="63"/>
      <c r="F13" s="518" t="s">
        <v>239</v>
      </c>
      <c r="G13" s="519"/>
    </row>
    <row r="14" spans="1:10" ht="31" thickBot="1">
      <c r="A14" s="527"/>
      <c r="B14" s="57" t="s">
        <v>198</v>
      </c>
      <c r="C14" s="263">
        <v>9999</v>
      </c>
      <c r="D14" s="63"/>
      <c r="E14" s="63"/>
      <c r="F14" s="64" t="s">
        <v>227</v>
      </c>
      <c r="G14" s="260" t="s">
        <v>642</v>
      </c>
    </row>
    <row r="15" spans="1:10" ht="17" thickBot="1">
      <c r="A15" s="527"/>
      <c r="B15" s="57" t="s">
        <v>140</v>
      </c>
      <c r="C15" s="263" t="s">
        <v>641</v>
      </c>
      <c r="D15" s="63"/>
      <c r="E15" s="63"/>
      <c r="F15" s="65" t="s">
        <v>228</v>
      </c>
      <c r="G15" s="263">
        <v>11</v>
      </c>
    </row>
    <row r="16" spans="1:10" ht="31" thickBot="1">
      <c r="A16" s="527"/>
      <c r="B16" s="59" t="s">
        <v>211</v>
      </c>
      <c r="C16" s="179"/>
      <c r="D16" s="63"/>
      <c r="E16" s="63"/>
      <c r="F16" s="65" t="s">
        <v>137</v>
      </c>
      <c r="G16" s="346"/>
    </row>
    <row r="17" spans="1:9" ht="17" thickBot="1">
      <c r="A17" s="527"/>
      <c r="B17" s="66" t="s">
        <v>212</v>
      </c>
      <c r="C17" s="180"/>
      <c r="D17" s="63"/>
      <c r="E17" s="63"/>
      <c r="F17" s="65" t="s">
        <v>226</v>
      </c>
      <c r="G17" s="180"/>
      <c r="I17" s="136"/>
    </row>
    <row r="18" spans="1:9" ht="31" thickBot="1">
      <c r="A18" s="527"/>
      <c r="B18" s="66" t="s">
        <v>213</v>
      </c>
      <c r="C18" s="180"/>
      <c r="D18" s="63"/>
      <c r="E18" s="63"/>
      <c r="F18" s="67" t="s">
        <v>225</v>
      </c>
      <c r="G18" s="262">
        <v>750000</v>
      </c>
      <c r="I18" s="136"/>
    </row>
    <row r="19" spans="1:9" ht="47.25" customHeight="1" thickBot="1">
      <c r="A19" s="527"/>
      <c r="B19" s="58" t="s">
        <v>214</v>
      </c>
      <c r="C19" s="299"/>
      <c r="D19" s="63"/>
      <c r="E19" s="63"/>
      <c r="F19" s="64" t="s">
        <v>136</v>
      </c>
      <c r="G19" s="262">
        <v>14041</v>
      </c>
      <c r="I19" s="136"/>
    </row>
    <row r="20" spans="1:9" ht="17" thickBot="1">
      <c r="A20" s="527"/>
      <c r="B20" s="192" t="s">
        <v>199</v>
      </c>
      <c r="C20" s="271" t="s">
        <v>634</v>
      </c>
      <c r="D20" s="63"/>
      <c r="E20" s="63"/>
      <c r="F20" s="196" t="s">
        <v>224</v>
      </c>
      <c r="G20" s="261">
        <v>24</v>
      </c>
      <c r="I20" s="136"/>
    </row>
    <row r="21" spans="1:9" ht="17" thickBot="1">
      <c r="A21" s="528"/>
      <c r="B21" s="189" t="s">
        <v>197</v>
      </c>
      <c r="C21" s="263"/>
      <c r="D21" s="63"/>
      <c r="E21" s="63"/>
      <c r="F21" s="465" t="s">
        <v>595</v>
      </c>
      <c r="G21" s="274" t="s">
        <v>603</v>
      </c>
      <c r="I21" s="136"/>
    </row>
    <row r="22" spans="1:9" ht="17" thickBot="1">
      <c r="A22" s="529"/>
      <c r="B22" s="189" t="s">
        <v>230</v>
      </c>
      <c r="C22" s="263"/>
      <c r="D22" s="104"/>
      <c r="E22" s="63"/>
      <c r="F22" s="63"/>
      <c r="G22" s="70"/>
      <c r="I22" s="136"/>
    </row>
    <row r="23" spans="1:9">
      <c r="A23" s="530"/>
      <c r="B23" s="63"/>
      <c r="C23" s="63"/>
      <c r="D23" s="63"/>
      <c r="E23" s="63"/>
      <c r="F23" s="63"/>
      <c r="G23" s="70"/>
      <c r="I23" s="136"/>
    </row>
    <row r="24" spans="1:9" ht="17" thickBot="1">
      <c r="A24" s="531"/>
      <c r="B24" s="71"/>
      <c r="C24" s="72"/>
      <c r="D24" s="63"/>
      <c r="E24" s="63"/>
      <c r="F24" s="63"/>
      <c r="G24" s="70"/>
      <c r="I24" s="136"/>
    </row>
    <row r="25" spans="1:9" ht="17" thickBot="1">
      <c r="A25" s="509" t="s">
        <v>86</v>
      </c>
      <c r="B25" s="523" t="s">
        <v>241</v>
      </c>
      <c r="C25" s="524"/>
      <c r="D25" s="60"/>
      <c r="E25" s="63"/>
      <c r="F25" s="520" t="s">
        <v>240</v>
      </c>
      <c r="G25" s="521"/>
      <c r="I25" s="136"/>
    </row>
    <row r="26" spans="1:9" ht="46" thickBot="1">
      <c r="A26" s="510"/>
      <c r="B26" s="149" t="s">
        <v>215</v>
      </c>
      <c r="C26" s="263" t="s">
        <v>643</v>
      </c>
      <c r="D26" s="63"/>
      <c r="E26" s="63"/>
      <c r="F26" s="57" t="s">
        <v>283</v>
      </c>
      <c r="G26" s="166">
        <f>'Sch2a-Imp Price by ECM'!L259</f>
        <v>22775000.379310332</v>
      </c>
      <c r="I26" s="136"/>
    </row>
    <row r="27" spans="1:9" ht="46" thickBot="1">
      <c r="A27" s="510"/>
      <c r="B27" s="150" t="s">
        <v>326</v>
      </c>
      <c r="C27" s="289">
        <f ca="1">IF('Summary Schedule'!$D$36="Annual",'Amortization-HIDDEN'!D11,IF('Summary Schedule'!$D$36="Quarter",'Amortization-HIDDEN-Q'!D11,IF('Summary Schedule'!$D$36="Biannual",'Amortization-HIDDEN-B'!D11,IF('Summary Schedule'!$D$36="Month",'Amortization-HIDDEN-M'!D11,""))))</f>
        <v>18</v>
      </c>
      <c r="D27" s="63"/>
      <c r="E27" s="63"/>
      <c r="F27" s="197" t="s">
        <v>284</v>
      </c>
      <c r="G27" s="266">
        <v>1143491</v>
      </c>
      <c r="I27" s="136"/>
    </row>
    <row r="28" spans="1:9" ht="31" thickBot="1">
      <c r="A28" s="510"/>
      <c r="B28" s="193" t="s">
        <v>216</v>
      </c>
      <c r="C28" s="264">
        <v>3.9E-2</v>
      </c>
      <c r="D28" s="63"/>
      <c r="E28" s="63"/>
      <c r="F28" s="197" t="s">
        <v>285</v>
      </c>
      <c r="G28" s="266">
        <v>0</v>
      </c>
      <c r="I28" s="136"/>
    </row>
    <row r="29" spans="1:9" ht="31" thickBot="1">
      <c r="A29" s="510"/>
      <c r="B29" s="193" t="s">
        <v>217</v>
      </c>
      <c r="C29" s="264">
        <v>1.0999999999999999E-2</v>
      </c>
      <c r="D29" s="63"/>
      <c r="E29" s="63"/>
      <c r="F29" s="68" t="s">
        <v>223</v>
      </c>
      <c r="G29" s="164">
        <f xml:space="preserve"> IF(C4="ESA", IF('Sch1ee-Ann Cost Sav &amp; Pymts'!D6=0,0,'Sch1ee-Ann Cost Sav &amp; Pymts'!D6),IF(C4="UESC", IF('Sch1u-Ann Cost Sav &amp; Pymts'!C6=0,0,'Sch1u-Ann Cost Sav &amp; Pymts'!C6),
 IF('Sch1-Ann Cost Sav &amp; Pymts'!D6=0,0,'Sch1-Ann Cost Sav &amp; Pymts'!D6)))</f>
        <v>5894259</v>
      </c>
      <c r="I29" s="136"/>
    </row>
    <row r="30" spans="1:9" ht="31" thickBot="1">
      <c r="A30" s="510"/>
      <c r="B30" s="151" t="s">
        <v>218</v>
      </c>
      <c r="C30" s="162">
        <f>SUM(C28:C29)</f>
        <v>0.05</v>
      </c>
      <c r="D30" s="63"/>
      <c r="E30" s="63"/>
      <c r="F30" s="69" t="s">
        <v>385</v>
      </c>
      <c r="G30" s="165">
        <f>G26+G27+G28-G29</f>
        <v>18024232.379310332</v>
      </c>
      <c r="I30" s="136"/>
    </row>
    <row r="31" spans="1:9" ht="31" thickBot="1">
      <c r="A31" s="510"/>
      <c r="B31" s="149" t="s">
        <v>219</v>
      </c>
      <c r="C31" s="495">
        <v>45579</v>
      </c>
      <c r="D31" s="63"/>
      <c r="E31" s="63"/>
      <c r="F31" s="69" t="s">
        <v>296</v>
      </c>
      <c r="G31" s="266">
        <v>18918491</v>
      </c>
    </row>
    <row r="32" spans="1:9" ht="32.25" customHeight="1" thickBot="1">
      <c r="A32" s="510"/>
      <c r="B32" s="194" t="s">
        <v>379</v>
      </c>
      <c r="C32" s="495">
        <v>45585</v>
      </c>
      <c r="D32" s="63"/>
      <c r="E32" s="63"/>
      <c r="F32" s="69" t="s">
        <v>327</v>
      </c>
      <c r="G32" s="281">
        <f>IF(C32="","",DATE(YEAR(C32),MONTH(C32)+G20,DAY(C32)))</f>
        <v>46315</v>
      </c>
    </row>
    <row r="33" spans="1:10" ht="17" thickBot="1">
      <c r="A33" s="510"/>
      <c r="B33" s="152" t="s">
        <v>220</v>
      </c>
      <c r="C33" s="495">
        <v>45596</v>
      </c>
      <c r="D33" s="63"/>
      <c r="E33" s="63"/>
      <c r="F33" s="63"/>
      <c r="G33" s="70"/>
    </row>
    <row r="34" spans="1:10" ht="31" thickBot="1">
      <c r="A34" s="510"/>
      <c r="B34" s="152" t="s">
        <v>221</v>
      </c>
      <c r="C34" s="264" t="s">
        <v>604</v>
      </c>
      <c r="D34" s="63"/>
      <c r="E34" s="63"/>
      <c r="F34" s="520" t="s">
        <v>242</v>
      </c>
      <c r="G34" s="521"/>
    </row>
    <row r="35" spans="1:10" ht="31" thickBot="1">
      <c r="A35" s="510"/>
      <c r="B35" s="152" t="s">
        <v>222</v>
      </c>
      <c r="C35" s="264" t="s">
        <v>638</v>
      </c>
      <c r="D35" s="63"/>
      <c r="E35" s="63"/>
      <c r="F35" s="188" t="s">
        <v>195</v>
      </c>
      <c r="G35" s="249">
        <f>IF(C4="ESA",
IF('Sch1esa-ESA Pymts'!B5=0,"",IF('Sch4-Cost Savings by ECM'!Y258+(('Sch1esa-ESA Pymts'!C9/'Sch1esa-ESA Pymts'!B5)*0.003412)=0,"",'Sch4-Cost Savings by ECM'!Y258+(('Sch1esa-ESA Pymts'!C9/'Sch1esa-ESA Pymts'!B5)*0.003412))),
IF('Sch4-Cost Savings by ECM'!Y258=0,"",'Sch4-Cost Savings by ECM'!Y258))</f>
        <v>44291.05311600001</v>
      </c>
      <c r="J35" s="20" t="str">
        <f>IF(ISNA(G35),G35,"")</f>
        <v/>
      </c>
    </row>
    <row r="36" spans="1:10" ht="31" thickBot="1">
      <c r="A36" s="511"/>
      <c r="B36" s="194" t="s">
        <v>378</v>
      </c>
      <c r="C36" s="265" t="s">
        <v>639</v>
      </c>
      <c r="D36" s="265" t="s">
        <v>640</v>
      </c>
      <c r="E36" s="63"/>
      <c r="F36" s="188" t="s">
        <v>196</v>
      </c>
      <c r="G36" s="249">
        <f>IF('Sch4-Cost Savings by ECM'!AA258=0,"",'Sch4-Cost Savings by ECM'!AA258)</f>
        <v>22096</v>
      </c>
      <c r="H36" s="105"/>
    </row>
    <row r="37" spans="1:10" ht="17" thickBot="1">
      <c r="A37" s="60"/>
      <c r="B37" s="63"/>
      <c r="C37" s="63"/>
      <c r="D37" s="63"/>
      <c r="E37" s="63"/>
      <c r="F37" s="188" t="s">
        <v>194</v>
      </c>
      <c r="G37" s="415">
        <f ca="1">IF(C4="ESA",
IF('Sch1esa-ESA Pymts'!B5=0,"",IF('Sch1ee-Ann Cost Sav &amp; Pymts'!B49+'Sch1ee-Ann Cost Sav &amp; Pymts'!B6+('Sch1esa-ESA Pymts'!D34/'Sch1esa-ESA Pymts'!B5)=0,"",'Sch1ee-Ann Cost Sav &amp; Pymts'!B49+'Sch1ee-Ann Cost Sav &amp; Pymts'!B6+('Sch1esa-ESA Pymts'!D34/'Sch1esa-ESA Pymts'!B5))),
IF(C4="UESC",
IF('Sch1u-Ann Cost Sav &amp; Pymts'!B49+'Sch1u-Ann Cost Sav &amp; Pymts'!B6=0,"",'Sch1u-Ann Cost Sav &amp; Pymts'!B49+'Sch1u-Ann Cost Sav &amp; Pymts'!B6),
IF('Sch1-Ann Cost Sav &amp; Pymts'!B49+'Sch1-Ann Cost Sav &amp; Pymts'!B6=0,"",'Sch1-Ann Cost Sav &amp; Pymts'!B49+'Sch1-Ann Cost Sav &amp; Pymts'!B6)))</f>
        <v>40704947.5816558</v>
      </c>
    </row>
    <row r="38" spans="1:10" ht="31" thickBot="1">
      <c r="A38" s="509" t="s">
        <v>89</v>
      </c>
      <c r="B38" s="195" t="str">
        <f>IF('Summary Schedule'!C4="UESC", "% Savings Devoted to Payments*", "Guarantee % of Estimated Savings*")</f>
        <v>Guarantee % of Estimated Savings*</v>
      </c>
      <c r="C38" s="267">
        <v>0.92</v>
      </c>
      <c r="D38" s="63"/>
      <c r="E38" s="63"/>
      <c r="F38" s="188" t="s">
        <v>192</v>
      </c>
      <c r="G38" s="415">
        <f ca="1">IF(C4="ESA",
IF('Sch1ee-Ann Cost Sav &amp; Pymts'!C52=0,"",'Sch1ee-Ann Cost Sav &amp; Pymts'!C52),
IF(C4="UESC",0,
IF('Sch1-Ann Cost Sav &amp; Pymts'!C52=0,"",'Sch1-Ann Cost Sav &amp; Pymts'!C52)))</f>
        <v>37867580</v>
      </c>
    </row>
    <row r="39" spans="1:10" ht="17" thickBot="1">
      <c r="A39" s="510"/>
      <c r="B39" s="58" t="s">
        <v>143</v>
      </c>
      <c r="C39" s="163"/>
      <c r="D39" s="63"/>
      <c r="E39" s="63"/>
      <c r="F39" s="66" t="s">
        <v>193</v>
      </c>
      <c r="G39" s="199">
        <f ca="1">IF(C4="ESA",
IF('Sch1ee-Ann Cost Sav &amp; Pymts'!D52=0,"",'Sch1ee-Ann Cost Sav &amp; Pymts'!D52),
IF(C4="UESC",
IF('Sch1u-Ann Cost Sav &amp; Pymts'!C52=0,"",'Sch1u-Ann Cost Sav &amp; Pymts'!C52),
IF('Sch1-Ann Cost Sav &amp; Pymts'!D52=0,"",'Sch1-Ann Cost Sav &amp; Pymts'!D52)))</f>
        <v>37020048</v>
      </c>
    </row>
    <row r="40" spans="1:10" ht="17" thickBot="1">
      <c r="A40" s="510"/>
      <c r="B40" s="153" t="s">
        <v>133</v>
      </c>
      <c r="C40" s="344"/>
      <c r="D40" s="63"/>
      <c r="E40" s="63"/>
      <c r="F40" s="63"/>
      <c r="G40" s="70"/>
    </row>
    <row r="41" spans="1:10" ht="30" customHeight="1" thickBot="1">
      <c r="A41" s="510"/>
      <c r="B41" s="153" t="s">
        <v>134</v>
      </c>
      <c r="C41" s="344"/>
      <c r="D41" s="63"/>
      <c r="E41" s="63"/>
      <c r="F41" s="525" t="s">
        <v>231</v>
      </c>
      <c r="G41" s="526"/>
    </row>
    <row r="42" spans="1:10" ht="37" customHeight="1" thickBot="1">
      <c r="A42" s="511"/>
      <c r="B42" s="153" t="s">
        <v>135</v>
      </c>
      <c r="C42" s="345"/>
      <c r="D42" s="63"/>
      <c r="E42" s="63"/>
      <c r="F42" s="290" t="str">
        <f ca="1">IFERROR(IF(C27&gt;0,(IF(VLOOKUP(C27,'Sch1-Ann Cost Sav &amp; Pymts'!A9:D33,3)=VLOOKUP(C27,'Sch1-Ann Cost Sav &amp; Pymts'!A9:D33,4)+1,"Contract term exceeded the stipulated 25 years","")),""),"")</f>
        <v/>
      </c>
      <c r="G42" s="291" t="str">
        <f ca="1">IF(OR(C27+G20/12&gt;25, 'Sch4-Cost Savings by ECM'!AG258&gt;40),"Contract Term Exceeds the 25 Year Term","")</f>
        <v/>
      </c>
    </row>
    <row r="43" spans="1:10" ht="17" thickBot="1">
      <c r="A43" s="52"/>
      <c r="B43" s="73"/>
      <c r="C43" s="74"/>
      <c r="D43" s="63"/>
      <c r="E43" s="63"/>
      <c r="F43" s="292"/>
      <c r="G43" s="293" t="str">
        <f ca="1">IFERROR(IF(IF('Summary Schedule'!$D$36="Annual",'Amortization-HIDDEN'!D11*12,IF('Summary Schedule'!$D$36="Quarter",'Amortization-HIDDEN-Q'!D11*12,IF('Summary Schedule'!$D$36="Biannual",'Amortization-HIDDEN-B'!D11*12,IF('Summary Schedule'!$D$36="Month",'Amortization-HIDDEN-M'!D11*12,""))))+'Summary Schedule'!G20&gt;300, "Contract Term exceeded 25 years", ""),"")</f>
        <v/>
      </c>
    </row>
    <row r="44" spans="1:10" ht="17" thickBot="1">
      <c r="A44" s="358"/>
      <c r="B44" s="359"/>
      <c r="C44" s="360"/>
      <c r="D44" s="358"/>
      <c r="E44" s="358"/>
      <c r="F44" s="358"/>
      <c r="G44" s="361"/>
    </row>
    <row r="45" spans="1:10" ht="17.25" customHeight="1">
      <c r="A45" s="539" t="s">
        <v>15</v>
      </c>
      <c r="B45" s="540"/>
      <c r="C45" s="540"/>
      <c r="D45" s="540"/>
      <c r="E45" s="540"/>
      <c r="F45" s="540"/>
      <c r="G45" s="541"/>
    </row>
    <row r="46" spans="1:10" ht="17.25" customHeight="1">
      <c r="A46" s="542" t="s">
        <v>288</v>
      </c>
      <c r="B46" s="543"/>
      <c r="C46" s="543"/>
      <c r="D46" s="543"/>
      <c r="E46" s="543"/>
      <c r="F46" s="543"/>
      <c r="G46" s="544"/>
    </row>
    <row r="47" spans="1:10" ht="17.25" customHeight="1">
      <c r="A47" s="542" t="s">
        <v>386</v>
      </c>
      <c r="B47" s="543"/>
      <c r="C47" s="543"/>
      <c r="D47" s="543"/>
      <c r="E47" s="543"/>
      <c r="F47" s="543"/>
      <c r="G47" s="544"/>
    </row>
    <row r="48" spans="1:10" ht="17.25" customHeight="1">
      <c r="A48" s="542" t="s">
        <v>338</v>
      </c>
      <c r="B48" s="543"/>
      <c r="C48" s="543"/>
      <c r="D48" s="543"/>
      <c r="E48" s="543"/>
      <c r="F48" s="543"/>
      <c r="G48" s="544"/>
    </row>
    <row r="49" spans="1:7" ht="30" customHeight="1">
      <c r="A49" s="545" t="s">
        <v>353</v>
      </c>
      <c r="B49" s="546"/>
      <c r="C49" s="546"/>
      <c r="D49" s="546"/>
      <c r="E49" s="546"/>
      <c r="F49" s="546"/>
      <c r="G49" s="547"/>
    </row>
    <row r="50" spans="1:7" ht="19.5" customHeight="1" thickBot="1">
      <c r="A50" s="538" t="str">
        <f>IF(C4="UESC","","(5) Guaranteed % of Estimated Savings is share of project estimated savings that ESCO is guaranteeing.")</f>
        <v>(5) Guaranteed % of Estimated Savings is share of project estimated savings that ESCO is guaranteeing.</v>
      </c>
      <c r="B50" s="536"/>
      <c r="C50" s="536"/>
      <c r="D50" s="536"/>
      <c r="E50" s="536"/>
      <c r="F50" s="536"/>
      <c r="G50" s="537"/>
    </row>
    <row r="51" spans="1:7" ht="16" customHeight="1">
      <c r="A51" s="532" t="s">
        <v>173</v>
      </c>
      <c r="B51" s="533"/>
      <c r="C51" s="533"/>
      <c r="D51" s="533"/>
      <c r="E51" s="533"/>
      <c r="F51" s="533"/>
      <c r="G51" s="534"/>
    </row>
    <row r="52" spans="1:7" ht="78" customHeight="1" thickBot="1">
      <c r="A52" s="535"/>
      <c r="B52" s="536"/>
      <c r="C52" s="536"/>
      <c r="D52" s="536"/>
      <c r="E52" s="536"/>
      <c r="F52" s="536"/>
      <c r="G52" s="537"/>
    </row>
    <row r="53" spans="1:7">
      <c r="A53" s="353" t="s">
        <v>614</v>
      </c>
    </row>
    <row r="54" spans="1:7">
      <c r="A54" s="354" t="s">
        <v>615</v>
      </c>
    </row>
  </sheetData>
  <mergeCells count="21">
    <mergeCell ref="A51:G51"/>
    <mergeCell ref="A52:G52"/>
    <mergeCell ref="A50:G50"/>
    <mergeCell ref="A45:G45"/>
    <mergeCell ref="A47:G47"/>
    <mergeCell ref="A49:G49"/>
    <mergeCell ref="A46:G46"/>
    <mergeCell ref="A48:G48"/>
    <mergeCell ref="A6:A11"/>
    <mergeCell ref="A25:A36"/>
    <mergeCell ref="A38:A42"/>
    <mergeCell ref="A1:G1"/>
    <mergeCell ref="A2:G2"/>
    <mergeCell ref="F13:G13"/>
    <mergeCell ref="F25:G25"/>
    <mergeCell ref="B13:C13"/>
    <mergeCell ref="B25:C25"/>
    <mergeCell ref="F41:G41"/>
    <mergeCell ref="F34:G34"/>
    <mergeCell ref="A13:A22"/>
    <mergeCell ref="A23:A24"/>
  </mergeCells>
  <phoneticPr fontId="5" type="noConversion"/>
  <conditionalFormatting sqref="C4">
    <cfRule type="containsText" dxfId="22" priority="14" operator="containsText" text="UESC">
      <formula>NOT(ISERROR(SEARCH("UESC",C4)))</formula>
    </cfRule>
    <cfRule type="containsText" dxfId="21" priority="15" operator="containsText" text="ESA">
      <formula>NOT(ISERROR(SEARCH("ESA",C4)))</formula>
    </cfRule>
    <cfRule type="containsText" dxfId="20" priority="16" operator="containsText" text="Direct-Funded">
      <formula>NOT(ISERROR(SEARCH("Direct-Funded",C4)))</formula>
    </cfRule>
    <cfRule type="containsText" dxfId="19" priority="17" operator="containsText" text="UESC">
      <formula>NOT(ISERROR(SEARCH("UESC",C4)))</formula>
    </cfRule>
    <cfRule type="containsText" dxfId="18" priority="18" operator="containsText" text="ESA">
      <formula>NOT(ISERROR(SEARCH("ESA",C4)))</formula>
    </cfRule>
    <cfRule type="containsText" dxfId="17" priority="19" operator="containsText" text="Direct-Funded">
      <formula>NOT(ISERROR(SEARCH("Direct-Funded",C4)))</formula>
    </cfRule>
  </conditionalFormatting>
  <conditionalFormatting sqref="C11">
    <cfRule type="expression" dxfId="16" priority="3">
      <formula>$C5="Direct-Funded"</formula>
    </cfRule>
  </conditionalFormatting>
  <conditionalFormatting sqref="C28:C29">
    <cfRule type="expression" dxfId="15" priority="2">
      <formula>$C$4="Direct-funded"</formula>
    </cfRule>
  </conditionalFormatting>
  <conditionalFormatting sqref="C31:C35">
    <cfRule type="expression" dxfId="14" priority="1">
      <formula>$C$4="Direct-funded"</formula>
    </cfRule>
  </conditionalFormatting>
  <conditionalFormatting sqref="D4">
    <cfRule type="expression" dxfId="13" priority="4">
      <formula>$C$4="ESA"</formula>
    </cfRule>
  </conditionalFormatting>
  <conditionalFormatting sqref="D10:G11">
    <cfRule type="expression" dxfId="12" priority="7">
      <formula>$C4="Direct-Funded"</formula>
    </cfRule>
  </conditionalFormatting>
  <dataValidations xWindow="529" yWindow="563" count="18">
    <dataValidation type="whole" allowBlank="1" showInputMessage="1" showErrorMessage="1" sqref="G15" xr:uid="{00000000-0002-0000-0100-000000000000}">
      <formula1>1</formula1>
      <formula2>250</formula2>
    </dataValidation>
    <dataValidation type="date" operator="greaterThan" allowBlank="1" showInputMessage="1" showErrorMessage="1" sqref="C31" xr:uid="{B34DF57A-7E76-5744-A79C-2ED64EB98FF3}">
      <formula1>36526</formula1>
    </dataValidation>
    <dataValidation type="textLength" operator="equal" allowBlank="1" showInputMessage="1" showErrorMessage="1" error="Please enter a phone number as 10 digits." sqref="G7:G11" xr:uid="{00000000-0002-0000-0100-000002000000}">
      <formula1>10</formula1>
    </dataValidation>
    <dataValidation allowBlank="1" sqref="B8" xr:uid="{00000000-0002-0000-0100-000003000000}"/>
    <dataValidation type="decimal" allowBlank="1" showInputMessage="1" showErrorMessage="1" error="Please enter a percentage between 0 and 100%." sqref="C38" xr:uid="{00000000-0002-0000-0100-000004000000}">
      <formula1>0</formula1>
      <formula2>10</formula2>
    </dataValidation>
    <dataValidation operator="lessThan" allowBlank="1" showInputMessage="1" showErrorMessage="1" sqref="C7 C11" xr:uid="{40BD6693-F980-FD49-A127-246B493590B9}"/>
    <dataValidation type="whole" allowBlank="1" showInputMessage="1" showErrorMessage="1" error="Please enter a valid value" sqref="I33:I36 G27 G31 G18:G19" xr:uid="{00000000-0002-0000-0100-000006000000}">
      <formula1>0</formula1>
      <formula2>1000000000</formula2>
    </dataValidation>
    <dataValidation type="whole" showInputMessage="1" showErrorMessage="1" error="Please enter a valid value" sqref="G28" xr:uid="{00000000-0002-0000-0100-000007000000}">
      <formula1>0</formula1>
      <formula2>1000000000</formula2>
    </dataValidation>
    <dataValidation type="whole" allowBlank="1" showInputMessage="1" showErrorMessage="1" error="Please enter a valid value" sqref="G20" xr:uid="{00000000-0002-0000-0100-000008000000}">
      <formula1>1</formula1>
      <formula2>60</formula2>
    </dataValidation>
    <dataValidation type="list" allowBlank="1" showInputMessage="1" showErrorMessage="1" sqref="C36" xr:uid="{D67BE443-F82C-7947-B196-9AF3971E0F70}">
      <formula1>"Beginning, End"</formula1>
    </dataValidation>
    <dataValidation allowBlank="1" showInputMessage="1" sqref="B9" xr:uid="{00000000-0002-0000-0100-00000A000000}"/>
    <dataValidation type="decimal" allowBlank="1" showInputMessage="1" showErrorMessage="1" errorTitle="Input Data Error" error="Enter a percentage between 0 and 100" sqref="C28:C29" xr:uid="{5B3E8D59-7F2C-2347-A7DA-24D750E492A7}">
      <formula1>0</formula1>
      <formula2>1</formula2>
    </dataValidation>
    <dataValidation operator="greaterThan" allowBlank="1" showInputMessage="1" showErrorMessage="1" sqref="G32" xr:uid="{00000000-0002-0000-0100-00000C000000}"/>
    <dataValidation type="list" allowBlank="1" showInputMessage="1" showErrorMessage="1" sqref="D36" xr:uid="{00000000-0002-0000-0100-00000D000000}">
      <formula1>"Annual, Biannual, Quarter, Month"</formula1>
    </dataValidation>
    <dataValidation type="list" allowBlank="1" showInputMessage="1" showErrorMessage="1" sqref="C35" xr:uid="{D0D0B2AE-4C8F-D74B-AAB3-F80F14DFE204}">
      <formula1>"Appropriation/Cash,Grant,Loan (ESCO),Loan (Customer),State/Local Bond,Lease,Loan (Utility),Other"</formula1>
    </dataValidation>
    <dataValidation type="list" allowBlank="1" showInputMessage="1" showErrorMessage="1" sqref="C4" xr:uid="{00000000-0002-0000-0100-00000F000000}">
      <formula1>" Guaranteed Savings, Shared Savings, UESC, PPA, ESA, Direct-funded, Build-Own-Operate/Chauffage, Other"</formula1>
    </dataValidation>
    <dataValidation type="list" allowBlank="1" showInputMessage="1" showErrorMessage="1" sqref="C34" xr:uid="{D4497D90-3CAF-2D4F-890E-DCC02BB90709}">
      <formula1>"Appropriation/Cash,Grant,Loan (ESCO),Loan (Customer),State/Local Bond,Lease,Other"</formula1>
    </dataValidation>
    <dataValidation type="list" allowBlank="1" showInputMessage="1" showErrorMessage="1" sqref="G21" xr:uid="{AA7C1EEB-D231-1D49-890A-24D7F5FCE451}">
      <formula1>"FEMP 2.2, FEMP 3.0, FEMP 4.0, FEMP 5.0, IPMVP, Other"</formula1>
    </dataValidation>
  </dataValidations>
  <pageMargins left="0.75" right="0.75" top="1" bottom="1" header="0.5" footer="0.5"/>
  <pageSetup scale="45"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53"/>
  <sheetViews>
    <sheetView zoomScale="90" zoomScaleNormal="90" zoomScalePageLayoutView="125" workbookViewId="0">
      <selection activeCell="H5" sqref="H5"/>
    </sheetView>
  </sheetViews>
  <sheetFormatPr baseColWidth="10" defaultColWidth="8.83203125" defaultRowHeight="16"/>
  <cols>
    <col min="1" max="1" width="35" customWidth="1"/>
    <col min="2" max="9" width="19.33203125" customWidth="1"/>
    <col min="10" max="10" width="42" customWidth="1"/>
  </cols>
  <sheetData>
    <row r="1" spans="1:10" ht="20.25" customHeight="1">
      <c r="A1" s="555" t="s">
        <v>110</v>
      </c>
      <c r="B1" s="556"/>
      <c r="C1" s="556"/>
      <c r="D1" s="556"/>
      <c r="E1" s="556"/>
      <c r="F1" s="556"/>
      <c r="G1" s="556"/>
      <c r="H1" s="556"/>
      <c r="I1" s="557"/>
    </row>
    <row r="2" spans="1:10" ht="21" customHeight="1" thickBot="1">
      <c r="A2" s="558"/>
      <c r="B2" s="559"/>
      <c r="C2" s="559"/>
      <c r="D2" s="559"/>
      <c r="E2" s="559"/>
      <c r="F2" s="559"/>
      <c r="G2" s="559"/>
      <c r="H2" s="559"/>
      <c r="I2" s="560"/>
    </row>
    <row r="3" spans="1:10" ht="17" thickBot="1">
      <c r="A3" s="99"/>
      <c r="B3" s="100"/>
      <c r="C3" s="100"/>
      <c r="D3" s="100"/>
      <c r="E3" s="100"/>
      <c r="F3" s="100"/>
      <c r="G3" s="100"/>
      <c r="H3" s="100"/>
      <c r="I3" s="101"/>
    </row>
    <row r="4" spans="1:10" ht="69" customHeight="1" thickBot="1">
      <c r="A4" s="103" t="s">
        <v>109</v>
      </c>
      <c r="B4" s="103" t="s">
        <v>56</v>
      </c>
      <c r="C4" s="103" t="s">
        <v>57</v>
      </c>
      <c r="D4" s="103" t="s">
        <v>45</v>
      </c>
      <c r="E4" s="155" t="s">
        <v>178</v>
      </c>
      <c r="F4" s="155" t="s">
        <v>142</v>
      </c>
      <c r="G4" s="103" t="s">
        <v>46</v>
      </c>
      <c r="H4" s="103" t="s">
        <v>47</v>
      </c>
      <c r="I4" s="103" t="s">
        <v>368</v>
      </c>
    </row>
    <row r="5" spans="1:10" ht="17" thickBot="1">
      <c r="A5" s="144" t="s">
        <v>144</v>
      </c>
      <c r="B5" s="273">
        <v>3.6934889999999942E-2</v>
      </c>
      <c r="C5" s="273">
        <v>3.6934889999999942E-2</v>
      </c>
      <c r="D5" s="273">
        <v>2.4750000000000001E-2</v>
      </c>
      <c r="E5" s="273">
        <v>2.4750000000000001E-2</v>
      </c>
      <c r="F5" s="273"/>
      <c r="G5" s="273">
        <v>7.5368999999999797E-2</v>
      </c>
      <c r="H5" s="273">
        <v>4.65E-2</v>
      </c>
      <c r="I5" s="273"/>
    </row>
    <row r="6" spans="1:10" ht="17" thickBot="1">
      <c r="A6" s="102">
        <v>2</v>
      </c>
      <c r="B6" s="273">
        <v>1.83E-2</v>
      </c>
      <c r="C6" s="273">
        <v>1.83E-2</v>
      </c>
      <c r="D6" s="273">
        <v>1.23E-2</v>
      </c>
      <c r="E6" s="273">
        <v>1.23E-2</v>
      </c>
      <c r="F6" s="273"/>
      <c r="G6" s="273">
        <v>3.6999999999999998E-2</v>
      </c>
      <c r="H6" s="273">
        <v>2.3E-2</v>
      </c>
      <c r="I6" s="273"/>
    </row>
    <row r="7" spans="1:10" ht="18" thickBot="1">
      <c r="A7" s="102">
        <v>3</v>
      </c>
      <c r="B7" s="273">
        <v>1.83E-2</v>
      </c>
      <c r="C7" s="273">
        <v>1.83E-2</v>
      </c>
      <c r="D7" s="273">
        <v>1.23E-2</v>
      </c>
      <c r="E7" s="273">
        <v>1.23E-2</v>
      </c>
      <c r="F7" s="273"/>
      <c r="G7" s="273">
        <v>3.6999999999999998E-2</v>
      </c>
      <c r="H7" s="273">
        <v>2.3E-2</v>
      </c>
      <c r="I7" s="273"/>
      <c r="J7" s="148"/>
    </row>
    <row r="8" spans="1:10" ht="17" thickBot="1">
      <c r="A8" s="102">
        <v>4</v>
      </c>
      <c r="B8" s="273">
        <v>1.83E-2</v>
      </c>
      <c r="C8" s="273">
        <v>1.83E-2</v>
      </c>
      <c r="D8" s="273">
        <v>1.23E-2</v>
      </c>
      <c r="E8" s="273">
        <v>1.23E-2</v>
      </c>
      <c r="F8" s="273"/>
      <c r="G8" s="273">
        <v>3.6999999999999998E-2</v>
      </c>
      <c r="H8" s="273">
        <v>2.3E-2</v>
      </c>
      <c r="I8" s="273"/>
    </row>
    <row r="9" spans="1:10" ht="17" thickBot="1">
      <c r="A9" s="102">
        <v>5</v>
      </c>
      <c r="B9" s="273">
        <v>1.83E-2</v>
      </c>
      <c r="C9" s="273">
        <v>1.83E-2</v>
      </c>
      <c r="D9" s="273">
        <v>1.23E-2</v>
      </c>
      <c r="E9" s="273">
        <v>1.23E-2</v>
      </c>
      <c r="F9" s="273"/>
      <c r="G9" s="273">
        <v>3.6999999999999998E-2</v>
      </c>
      <c r="H9" s="273">
        <v>2.3E-2</v>
      </c>
      <c r="I9" s="273"/>
    </row>
    <row r="10" spans="1:10" ht="17" thickBot="1">
      <c r="A10" s="102">
        <v>6</v>
      </c>
      <c r="B10" s="273">
        <v>1.83E-2</v>
      </c>
      <c r="C10" s="273">
        <v>1.83E-2</v>
      </c>
      <c r="D10" s="273">
        <v>1.23E-2</v>
      </c>
      <c r="E10" s="273">
        <v>1.23E-2</v>
      </c>
      <c r="F10" s="273"/>
      <c r="G10" s="273">
        <v>3.6999999999999998E-2</v>
      </c>
      <c r="H10" s="273">
        <v>2.3E-2</v>
      </c>
      <c r="I10" s="273"/>
    </row>
    <row r="11" spans="1:10" ht="17" thickBot="1">
      <c r="A11" s="102">
        <v>7</v>
      </c>
      <c r="B11" s="273">
        <v>1.83E-2</v>
      </c>
      <c r="C11" s="273">
        <v>1.83E-2</v>
      </c>
      <c r="D11" s="273">
        <v>1.23E-2</v>
      </c>
      <c r="E11" s="273">
        <v>1.23E-2</v>
      </c>
      <c r="F11" s="273"/>
      <c r="G11" s="273">
        <v>3.6999999999999998E-2</v>
      </c>
      <c r="H11" s="273">
        <v>2.3E-2</v>
      </c>
      <c r="I11" s="273"/>
    </row>
    <row r="12" spans="1:10" ht="17" thickBot="1">
      <c r="A12" s="102">
        <v>8</v>
      </c>
      <c r="B12" s="273">
        <v>1.83E-2</v>
      </c>
      <c r="C12" s="273">
        <v>1.83E-2</v>
      </c>
      <c r="D12" s="273">
        <v>1.23E-2</v>
      </c>
      <c r="E12" s="273">
        <v>1.23E-2</v>
      </c>
      <c r="F12" s="273"/>
      <c r="G12" s="273">
        <v>3.6999999999999998E-2</v>
      </c>
      <c r="H12" s="273">
        <v>2.3E-2</v>
      </c>
      <c r="I12" s="273"/>
    </row>
    <row r="13" spans="1:10" ht="17" thickBot="1">
      <c r="A13" s="102">
        <v>9</v>
      </c>
      <c r="B13" s="273">
        <v>1.83E-2</v>
      </c>
      <c r="C13" s="273">
        <v>1.83E-2</v>
      </c>
      <c r="D13" s="273">
        <v>1.23E-2</v>
      </c>
      <c r="E13" s="273">
        <v>1.23E-2</v>
      </c>
      <c r="F13" s="273"/>
      <c r="G13" s="273">
        <v>3.6999999999999998E-2</v>
      </c>
      <c r="H13" s="273">
        <v>2.3E-2</v>
      </c>
      <c r="I13" s="273"/>
    </row>
    <row r="14" spans="1:10" ht="17" thickBot="1">
      <c r="A14" s="102">
        <v>10</v>
      </c>
      <c r="B14" s="273">
        <v>1.83E-2</v>
      </c>
      <c r="C14" s="273">
        <v>1.83E-2</v>
      </c>
      <c r="D14" s="273">
        <v>1.23E-2</v>
      </c>
      <c r="E14" s="273">
        <v>1.23E-2</v>
      </c>
      <c r="F14" s="273"/>
      <c r="G14" s="273">
        <v>3.6999999999999998E-2</v>
      </c>
      <c r="H14" s="273">
        <v>2.3E-2</v>
      </c>
      <c r="I14" s="273"/>
    </row>
    <row r="15" spans="1:10" ht="17" thickBot="1">
      <c r="A15" s="102">
        <v>11</v>
      </c>
      <c r="B15" s="273">
        <v>1.83E-2</v>
      </c>
      <c r="C15" s="273">
        <v>1.83E-2</v>
      </c>
      <c r="D15" s="273">
        <v>1.23E-2</v>
      </c>
      <c r="E15" s="273">
        <v>1.23E-2</v>
      </c>
      <c r="F15" s="273"/>
      <c r="G15" s="273">
        <v>3.6999999999999998E-2</v>
      </c>
      <c r="H15" s="273">
        <v>2.3E-2</v>
      </c>
      <c r="I15" s="273"/>
    </row>
    <row r="16" spans="1:10" ht="17" thickBot="1">
      <c r="A16" s="102">
        <v>12</v>
      </c>
      <c r="B16" s="273">
        <v>1.83E-2</v>
      </c>
      <c r="C16" s="273">
        <v>1.83E-2</v>
      </c>
      <c r="D16" s="273">
        <v>1.23E-2</v>
      </c>
      <c r="E16" s="273">
        <v>1.23E-2</v>
      </c>
      <c r="F16" s="273"/>
      <c r="G16" s="273">
        <v>3.6999999999999998E-2</v>
      </c>
      <c r="H16" s="273">
        <v>2.3E-2</v>
      </c>
      <c r="I16" s="273"/>
    </row>
    <row r="17" spans="1:9" ht="17" thickBot="1">
      <c r="A17" s="102">
        <v>13</v>
      </c>
      <c r="B17" s="273">
        <v>1.83E-2</v>
      </c>
      <c r="C17" s="273">
        <v>1.83E-2</v>
      </c>
      <c r="D17" s="273">
        <v>1.23E-2</v>
      </c>
      <c r="E17" s="273">
        <v>1.23E-2</v>
      </c>
      <c r="F17" s="273"/>
      <c r="G17" s="273">
        <v>3.6999999999999998E-2</v>
      </c>
      <c r="H17" s="273">
        <v>2.3E-2</v>
      </c>
      <c r="I17" s="273"/>
    </row>
    <row r="18" spans="1:9" ht="17" thickBot="1">
      <c r="A18" s="102">
        <v>14</v>
      </c>
      <c r="B18" s="273">
        <v>1.83E-2</v>
      </c>
      <c r="C18" s="273">
        <v>1.83E-2</v>
      </c>
      <c r="D18" s="273">
        <v>1.23E-2</v>
      </c>
      <c r="E18" s="273">
        <v>1.23E-2</v>
      </c>
      <c r="F18" s="273"/>
      <c r="G18" s="273">
        <v>3.6999999999999998E-2</v>
      </c>
      <c r="H18" s="273">
        <v>2.3E-2</v>
      </c>
      <c r="I18" s="273"/>
    </row>
    <row r="19" spans="1:9" ht="17" thickBot="1">
      <c r="A19" s="102">
        <v>15</v>
      </c>
      <c r="B19" s="273">
        <v>1.83E-2</v>
      </c>
      <c r="C19" s="273">
        <v>1.83E-2</v>
      </c>
      <c r="D19" s="273">
        <v>1.23E-2</v>
      </c>
      <c r="E19" s="273">
        <v>1.23E-2</v>
      </c>
      <c r="F19" s="273"/>
      <c r="G19" s="273">
        <v>3.6999999999999998E-2</v>
      </c>
      <c r="H19" s="273">
        <v>2.3E-2</v>
      </c>
      <c r="I19" s="273"/>
    </row>
    <row r="20" spans="1:9" ht="17" thickBot="1">
      <c r="A20" s="102">
        <v>16</v>
      </c>
      <c r="B20" s="273">
        <v>1.83E-2</v>
      </c>
      <c r="C20" s="273">
        <v>1.83E-2</v>
      </c>
      <c r="D20" s="273">
        <v>1.23E-2</v>
      </c>
      <c r="E20" s="273">
        <v>1.23E-2</v>
      </c>
      <c r="F20" s="273"/>
      <c r="G20" s="273">
        <v>3.6999999999999998E-2</v>
      </c>
      <c r="H20" s="273">
        <v>2.3E-2</v>
      </c>
      <c r="I20" s="273"/>
    </row>
    <row r="21" spans="1:9" ht="17" thickBot="1">
      <c r="A21" s="102">
        <v>17</v>
      </c>
      <c r="B21" s="273">
        <v>1.83E-2</v>
      </c>
      <c r="C21" s="273">
        <v>1.83E-2</v>
      </c>
      <c r="D21" s="273">
        <v>1.23E-2</v>
      </c>
      <c r="E21" s="273">
        <v>1.23E-2</v>
      </c>
      <c r="F21" s="273"/>
      <c r="G21" s="273">
        <v>3.6999999999999998E-2</v>
      </c>
      <c r="H21" s="273">
        <v>2.3E-2</v>
      </c>
      <c r="I21" s="273"/>
    </row>
    <row r="22" spans="1:9" ht="17" thickBot="1">
      <c r="A22" s="102">
        <v>18</v>
      </c>
      <c r="B22" s="273">
        <v>1.83E-2</v>
      </c>
      <c r="C22" s="273">
        <v>1.83E-2</v>
      </c>
      <c r="D22" s="273">
        <v>1.23E-2</v>
      </c>
      <c r="E22" s="273">
        <v>1.23E-2</v>
      </c>
      <c r="F22" s="273"/>
      <c r="G22" s="273">
        <v>3.6999999999999998E-2</v>
      </c>
      <c r="H22" s="273">
        <v>2.3E-2</v>
      </c>
      <c r="I22" s="273"/>
    </row>
    <row r="23" spans="1:9" ht="17" thickBot="1">
      <c r="A23" s="102">
        <v>19</v>
      </c>
      <c r="B23" s="273">
        <v>1.83E-2</v>
      </c>
      <c r="C23" s="273">
        <v>1.83E-2</v>
      </c>
      <c r="D23" s="273">
        <v>1.23E-2</v>
      </c>
      <c r="E23" s="273">
        <v>1.23E-2</v>
      </c>
      <c r="F23" s="273"/>
      <c r="G23" s="273">
        <v>3.6999999999999998E-2</v>
      </c>
      <c r="H23" s="273">
        <v>2.3E-2</v>
      </c>
      <c r="I23" s="273"/>
    </row>
    <row r="24" spans="1:9" ht="17" thickBot="1">
      <c r="A24" s="102">
        <v>20</v>
      </c>
      <c r="B24" s="273">
        <v>1.83E-2</v>
      </c>
      <c r="C24" s="273">
        <v>1.83E-2</v>
      </c>
      <c r="D24" s="273">
        <v>1.23E-2</v>
      </c>
      <c r="E24" s="273">
        <v>1.23E-2</v>
      </c>
      <c r="F24" s="273"/>
      <c r="G24" s="273">
        <v>3.6999999999999998E-2</v>
      </c>
      <c r="H24" s="273">
        <v>2.3E-2</v>
      </c>
      <c r="I24" s="273"/>
    </row>
    <row r="25" spans="1:9" ht="17" thickBot="1">
      <c r="A25" s="102">
        <v>21</v>
      </c>
      <c r="B25" s="273">
        <v>1.83E-2</v>
      </c>
      <c r="C25" s="273">
        <v>1.83E-2</v>
      </c>
      <c r="D25" s="273">
        <v>1.23E-2</v>
      </c>
      <c r="E25" s="273">
        <v>1.23E-2</v>
      </c>
      <c r="F25" s="273"/>
      <c r="G25" s="273">
        <v>3.6999999999999998E-2</v>
      </c>
      <c r="H25" s="273">
        <v>2.3E-2</v>
      </c>
      <c r="I25" s="273"/>
    </row>
    <row r="26" spans="1:9" ht="17" thickBot="1">
      <c r="A26" s="102">
        <v>22</v>
      </c>
      <c r="B26" s="273">
        <v>1.83E-2</v>
      </c>
      <c r="C26" s="273">
        <v>1.83E-2</v>
      </c>
      <c r="D26" s="273">
        <v>1.23E-2</v>
      </c>
      <c r="E26" s="273">
        <v>1.23E-2</v>
      </c>
      <c r="F26" s="273"/>
      <c r="G26" s="273">
        <v>3.6999999999999998E-2</v>
      </c>
      <c r="H26" s="273">
        <v>2.3E-2</v>
      </c>
      <c r="I26" s="273"/>
    </row>
    <row r="27" spans="1:9" ht="17" thickBot="1">
      <c r="A27" s="102">
        <v>23</v>
      </c>
      <c r="B27" s="273">
        <v>1.83E-2</v>
      </c>
      <c r="C27" s="273">
        <v>1.83E-2</v>
      </c>
      <c r="D27" s="273">
        <v>1.23E-2</v>
      </c>
      <c r="E27" s="273">
        <v>1.23E-2</v>
      </c>
      <c r="F27" s="273"/>
      <c r="G27" s="273">
        <v>3.6999999999999998E-2</v>
      </c>
      <c r="H27" s="273">
        <v>2.3E-2</v>
      </c>
      <c r="I27" s="273"/>
    </row>
    <row r="28" spans="1:9" ht="17" thickBot="1">
      <c r="A28" s="102">
        <v>24</v>
      </c>
      <c r="B28" s="273">
        <v>1.83E-2</v>
      </c>
      <c r="C28" s="273">
        <v>1.83E-2</v>
      </c>
      <c r="D28" s="273">
        <v>1.23E-2</v>
      </c>
      <c r="E28" s="273">
        <v>1.23E-2</v>
      </c>
      <c r="F28" s="273"/>
      <c r="G28" s="273">
        <v>3.6999999999999998E-2</v>
      </c>
      <c r="H28" s="273">
        <v>2.3E-2</v>
      </c>
      <c r="I28" s="273"/>
    </row>
    <row r="29" spans="1:9" ht="17" thickBot="1">
      <c r="A29" s="102">
        <v>25</v>
      </c>
      <c r="B29" s="273">
        <v>1.83E-2</v>
      </c>
      <c r="C29" s="273">
        <v>1.83E-2</v>
      </c>
      <c r="D29" s="273">
        <v>1.23E-2</v>
      </c>
      <c r="E29" s="273">
        <v>1.23E-2</v>
      </c>
      <c r="F29" s="273"/>
      <c r="G29" s="273">
        <v>3.6999999999999998E-2</v>
      </c>
      <c r="H29" s="273">
        <v>2.3E-2</v>
      </c>
      <c r="I29" s="273"/>
    </row>
    <row r="30" spans="1:9" ht="17" hidden="1" thickBot="1">
      <c r="A30" s="102">
        <v>26</v>
      </c>
      <c r="B30" s="273"/>
      <c r="C30" s="273"/>
      <c r="D30" s="273"/>
      <c r="E30" s="273"/>
      <c r="F30" s="273"/>
      <c r="G30" s="273"/>
      <c r="H30" s="273"/>
      <c r="I30" s="273"/>
    </row>
    <row r="31" spans="1:9" ht="17" hidden="1" thickBot="1">
      <c r="A31" s="102">
        <v>27</v>
      </c>
      <c r="B31" s="273"/>
      <c r="C31" s="273"/>
      <c r="D31" s="273"/>
      <c r="E31" s="273"/>
      <c r="F31" s="273"/>
      <c r="G31" s="273"/>
      <c r="H31" s="273"/>
      <c r="I31" s="273"/>
    </row>
    <row r="32" spans="1:9" ht="17" hidden="1" thickBot="1">
      <c r="A32" s="102">
        <v>28</v>
      </c>
      <c r="B32" s="273"/>
      <c r="C32" s="273"/>
      <c r="D32" s="273"/>
      <c r="E32" s="273"/>
      <c r="F32" s="273"/>
      <c r="G32" s="273"/>
      <c r="H32" s="273"/>
      <c r="I32" s="273"/>
    </row>
    <row r="33" spans="1:9" ht="17" hidden="1" thickBot="1">
      <c r="A33" s="102">
        <v>29</v>
      </c>
      <c r="B33" s="273"/>
      <c r="C33" s="273"/>
      <c r="D33" s="273"/>
      <c r="E33" s="273"/>
      <c r="F33" s="273"/>
      <c r="G33" s="273"/>
      <c r="H33" s="273"/>
      <c r="I33" s="273"/>
    </row>
    <row r="34" spans="1:9" ht="17" hidden="1" thickBot="1">
      <c r="A34" s="102">
        <v>30</v>
      </c>
      <c r="B34" s="273"/>
      <c r="C34" s="273"/>
      <c r="D34" s="273"/>
      <c r="E34" s="273"/>
      <c r="F34" s="273"/>
      <c r="G34" s="273"/>
      <c r="H34" s="273"/>
      <c r="I34" s="273"/>
    </row>
    <row r="35" spans="1:9" ht="17" hidden="1" thickBot="1">
      <c r="A35" s="102">
        <v>31</v>
      </c>
      <c r="B35" s="273"/>
      <c r="C35" s="273"/>
      <c r="D35" s="273"/>
      <c r="E35" s="273"/>
      <c r="F35" s="273"/>
      <c r="G35" s="273"/>
      <c r="H35" s="273"/>
      <c r="I35" s="273"/>
    </row>
    <row r="36" spans="1:9" ht="17" hidden="1" thickBot="1">
      <c r="A36" s="102">
        <v>32</v>
      </c>
      <c r="B36" s="273"/>
      <c r="C36" s="273"/>
      <c r="D36" s="273"/>
      <c r="E36" s="273"/>
      <c r="F36" s="273"/>
      <c r="G36" s="273"/>
      <c r="H36" s="273"/>
      <c r="I36" s="273"/>
    </row>
    <row r="37" spans="1:9" ht="17" hidden="1" thickBot="1">
      <c r="A37" s="102">
        <v>33</v>
      </c>
      <c r="B37" s="273"/>
      <c r="C37" s="273"/>
      <c r="D37" s="273"/>
      <c r="E37" s="273"/>
      <c r="F37" s="273"/>
      <c r="G37" s="273"/>
      <c r="H37" s="273"/>
      <c r="I37" s="273"/>
    </row>
    <row r="38" spans="1:9" ht="17" hidden="1" thickBot="1">
      <c r="A38" s="102">
        <v>34</v>
      </c>
      <c r="B38" s="273"/>
      <c r="C38" s="273"/>
      <c r="D38" s="273"/>
      <c r="E38" s="273"/>
      <c r="F38" s="273"/>
      <c r="G38" s="273"/>
      <c r="H38" s="273"/>
      <c r="I38" s="273"/>
    </row>
    <row r="39" spans="1:9" ht="17" hidden="1" thickBot="1">
      <c r="A39" s="102">
        <v>35</v>
      </c>
      <c r="B39" s="273"/>
      <c r="C39" s="273"/>
      <c r="D39" s="273"/>
      <c r="E39" s="273"/>
      <c r="F39" s="273"/>
      <c r="G39" s="273"/>
      <c r="H39" s="273"/>
      <c r="I39" s="273"/>
    </row>
    <row r="40" spans="1:9" ht="17" hidden="1" thickBot="1">
      <c r="A40" s="102">
        <v>36</v>
      </c>
      <c r="B40" s="273"/>
      <c r="C40" s="273"/>
      <c r="D40" s="273"/>
      <c r="E40" s="273"/>
      <c r="F40" s="273"/>
      <c r="G40" s="273"/>
      <c r="H40" s="273"/>
      <c r="I40" s="273"/>
    </row>
    <row r="41" spans="1:9" ht="17" hidden="1" thickBot="1">
      <c r="A41" s="102">
        <v>37</v>
      </c>
      <c r="B41" s="273"/>
      <c r="C41" s="273"/>
      <c r="D41" s="273"/>
      <c r="E41" s="273"/>
      <c r="F41" s="273"/>
      <c r="G41" s="273"/>
      <c r="H41" s="273"/>
      <c r="I41" s="273"/>
    </row>
    <row r="42" spans="1:9" ht="17" hidden="1" thickBot="1">
      <c r="A42" s="102">
        <v>38</v>
      </c>
      <c r="B42" s="273"/>
      <c r="C42" s="273"/>
      <c r="D42" s="273"/>
      <c r="E42" s="273"/>
      <c r="F42" s="273"/>
      <c r="G42" s="273"/>
      <c r="H42" s="273"/>
      <c r="I42" s="273"/>
    </row>
    <row r="43" spans="1:9" ht="17" hidden="1" thickBot="1">
      <c r="A43" s="102">
        <v>39</v>
      </c>
      <c r="B43" s="273"/>
      <c r="C43" s="273"/>
      <c r="D43" s="273"/>
      <c r="E43" s="273"/>
      <c r="F43" s="273"/>
      <c r="G43" s="273"/>
      <c r="H43" s="273"/>
      <c r="I43" s="273"/>
    </row>
    <row r="44" spans="1:9" ht="17" hidden="1" thickBot="1">
      <c r="A44" s="102">
        <v>40</v>
      </c>
      <c r="B44" s="273"/>
      <c r="C44" s="273"/>
      <c r="D44" s="273"/>
      <c r="E44" s="273"/>
      <c r="F44" s="273"/>
      <c r="G44" s="273"/>
      <c r="H44" s="273"/>
      <c r="I44" s="273"/>
    </row>
    <row r="45" spans="1:9" ht="17" thickBot="1">
      <c r="A45" s="99"/>
      <c r="B45" s="100"/>
      <c r="C45" s="100"/>
      <c r="D45" s="100"/>
      <c r="E45" s="100"/>
      <c r="F45" s="100"/>
      <c r="G45" s="100"/>
      <c r="H45" s="100"/>
      <c r="I45" s="101"/>
    </row>
    <row r="46" spans="1:9" ht="19.5" customHeight="1">
      <c r="A46" s="564" t="s">
        <v>15</v>
      </c>
      <c r="B46" s="565"/>
      <c r="C46" s="565"/>
      <c r="D46" s="565"/>
      <c r="E46" s="565"/>
      <c r="F46" s="565"/>
      <c r="G46" s="565"/>
      <c r="H46" s="565"/>
      <c r="I46" s="566"/>
    </row>
    <row r="47" spans="1:9" ht="40" customHeight="1">
      <c r="A47" s="561" t="s">
        <v>149</v>
      </c>
      <c r="B47" s="562"/>
      <c r="C47" s="562"/>
      <c r="D47" s="562"/>
      <c r="E47" s="562"/>
      <c r="F47" s="562"/>
      <c r="G47" s="562"/>
      <c r="H47" s="562"/>
      <c r="I47" s="563"/>
    </row>
    <row r="48" spans="1:9" ht="32.25" customHeight="1">
      <c r="A48" s="561" t="s">
        <v>145</v>
      </c>
      <c r="B48" s="562"/>
      <c r="C48" s="562"/>
      <c r="D48" s="562"/>
      <c r="E48" s="562"/>
      <c r="F48" s="562"/>
      <c r="G48" s="562"/>
      <c r="H48" s="562"/>
      <c r="I48" s="563"/>
    </row>
    <row r="49" spans="1:9" ht="17" thickBot="1">
      <c r="A49" s="567" t="s">
        <v>131</v>
      </c>
      <c r="B49" s="568"/>
      <c r="C49" s="568"/>
      <c r="D49" s="568"/>
      <c r="E49" s="568"/>
      <c r="F49" s="568"/>
      <c r="G49" s="568"/>
      <c r="H49" s="568"/>
      <c r="I49" s="569"/>
    </row>
    <row r="50" spans="1:9" ht="16" customHeight="1">
      <c r="A50" s="552" t="s">
        <v>173</v>
      </c>
      <c r="B50" s="553"/>
      <c r="C50" s="553"/>
      <c r="D50" s="553"/>
      <c r="E50" s="553"/>
      <c r="F50" s="553"/>
      <c r="G50" s="540"/>
      <c r="H50" s="540"/>
      <c r="I50" s="554"/>
    </row>
    <row r="51" spans="1:9" ht="75" customHeight="1" thickBot="1">
      <c r="A51" s="548"/>
      <c r="B51" s="549"/>
      <c r="C51" s="549"/>
      <c r="D51" s="549"/>
      <c r="E51" s="549"/>
      <c r="F51" s="549"/>
      <c r="G51" s="550"/>
      <c r="H51" s="550"/>
      <c r="I51" s="551"/>
    </row>
    <row r="52" spans="1:9">
      <c r="A52" t="str">
        <f>'Summary Schedule'!A53</f>
        <v>4.1.5.c</v>
      </c>
    </row>
    <row r="53" spans="1:9">
      <c r="A53" t="str">
        <f>'Summary Schedule'!A54</f>
        <v>04232024</v>
      </c>
    </row>
  </sheetData>
  <mergeCells count="7">
    <mergeCell ref="A51:I51"/>
    <mergeCell ref="A50:I50"/>
    <mergeCell ref="A1:I2"/>
    <mergeCell ref="A47:I47"/>
    <mergeCell ref="A48:I48"/>
    <mergeCell ref="A46:I46"/>
    <mergeCell ref="A49:I49"/>
  </mergeCells>
  <dataValidations count="1">
    <dataValidation type="decimal" allowBlank="1" showInputMessage="1" showErrorMessage="1" error="Please enter a percentage between 0 and 100%." sqref="B5:I45" xr:uid="{00000000-0002-0000-0200-000000000000}">
      <formula1>0</formula1>
      <formula2>1</formula2>
    </dataValidation>
  </dataValidations>
  <pageMargins left="0.7" right="0.7" top="0.75" bottom="0.75" header="0.3" footer="0.3"/>
  <pageSetup scale="57"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ECM!$B$3:$B$11</xm:f>
          </x14:formula1>
          <xm:sqref>E4</xm:sqref>
        </x14:dataValidation>
        <x14:dataValidation type="list" allowBlank="1" showInputMessage="1" showErrorMessage="1" xr:uid="{00000000-0002-0000-0200-000002000000}">
          <x14:formula1>
            <xm:f>ECM!$C$3:$C$11</xm:f>
          </x14:formula1>
          <xm:sqref>F4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pageSetUpPr fitToPage="1"/>
  </sheetPr>
  <dimension ref="A1:I64"/>
  <sheetViews>
    <sheetView topLeftCell="A6" zoomScale="90" zoomScaleNormal="90" zoomScalePageLayoutView="150" workbookViewId="0">
      <selection activeCell="E26" sqref="E26"/>
    </sheetView>
  </sheetViews>
  <sheetFormatPr baseColWidth="10" defaultColWidth="11" defaultRowHeight="16"/>
  <cols>
    <col min="1" max="1" width="23" style="4" customWidth="1"/>
    <col min="2" max="4" width="27" style="4" customWidth="1"/>
    <col min="5" max="5" width="22.83203125" style="4" customWidth="1"/>
    <col min="6" max="6" width="16.5" style="4" customWidth="1"/>
    <col min="7" max="7" width="14.5" style="4" bestFit="1" customWidth="1"/>
    <col min="8" max="8" width="12.83203125" style="4" bestFit="1" customWidth="1"/>
    <col min="9" max="9" width="14.5" style="4" bestFit="1" customWidth="1"/>
    <col min="10" max="16384" width="11" style="4"/>
  </cols>
  <sheetData>
    <row r="1" spans="1:9" ht="21">
      <c r="A1" s="556" t="s">
        <v>105</v>
      </c>
      <c r="B1" s="556"/>
      <c r="C1" s="556"/>
      <c r="D1" s="556"/>
      <c r="E1" s="570"/>
    </row>
    <row r="2" spans="1:9" ht="22" thickBot="1">
      <c r="A2" s="559" t="s">
        <v>153</v>
      </c>
      <c r="B2" s="559"/>
      <c r="C2" s="559"/>
      <c r="D2" s="559"/>
      <c r="E2" s="531"/>
    </row>
    <row r="3" spans="1:9" ht="19.5" customHeight="1" thickBot="1">
      <c r="A3" s="99"/>
      <c r="B3" s="100"/>
      <c r="C3" s="107"/>
      <c r="D3" s="107"/>
      <c r="E3" s="101"/>
      <c r="F3" s="46"/>
    </row>
    <row r="4" spans="1:9" ht="15" customHeight="1" thickBot="1">
      <c r="A4" s="571" t="s">
        <v>155</v>
      </c>
      <c r="B4" s="295" t="s">
        <v>0</v>
      </c>
      <c r="C4" s="295" t="s">
        <v>1</v>
      </c>
      <c r="D4" s="295" t="s">
        <v>2</v>
      </c>
      <c r="E4" s="184"/>
    </row>
    <row r="5" spans="1:9" ht="24" customHeight="1" thickBot="1">
      <c r="A5" s="571"/>
      <c r="B5" s="158" t="s">
        <v>200</v>
      </c>
      <c r="C5" s="158" t="s">
        <v>201</v>
      </c>
      <c r="D5" s="158" t="s">
        <v>202</v>
      </c>
      <c r="E5" s="184"/>
    </row>
    <row r="6" spans="1:9" ht="17" thickBot="1">
      <c r="A6" s="571"/>
      <c r="B6" s="156">
        <v>5951339</v>
      </c>
      <c r="C6" s="156">
        <v>5894259</v>
      </c>
      <c r="D6" s="156">
        <v>5894259</v>
      </c>
      <c r="E6" s="185"/>
    </row>
    <row r="7" spans="1:9" ht="17" thickBot="1">
      <c r="A7" s="571" t="s">
        <v>243</v>
      </c>
      <c r="B7" s="295" t="s">
        <v>3</v>
      </c>
      <c r="C7" s="295" t="s">
        <v>4</v>
      </c>
      <c r="D7" s="295" t="s">
        <v>5</v>
      </c>
      <c r="E7" s="295" t="s">
        <v>154</v>
      </c>
      <c r="F7" s="47"/>
    </row>
    <row r="8" spans="1:9" ht="30.75" customHeight="1" thickBot="1">
      <c r="A8" s="571"/>
      <c r="B8" s="295" t="s">
        <v>44</v>
      </c>
      <c r="C8" s="295" t="s">
        <v>120</v>
      </c>
      <c r="D8" s="295" t="s">
        <v>151</v>
      </c>
      <c r="E8" s="295" t="s">
        <v>146</v>
      </c>
    </row>
    <row r="9" spans="1:9" ht="18" customHeight="1" thickBot="1">
      <c r="A9" s="108">
        <v>1</v>
      </c>
      <c r="B9" s="250">
        <f ca="1">IF(OR('Summary Schedule'!$C$4="UESC", 'Summary Schedule'!$C$4="ESA"), "", IF(A9&lt;='Summary Schedule'!$C$27,'Itemized Costs-HIDDEN'!L5,""))</f>
        <v>1614577.854531422</v>
      </c>
      <c r="C9" s="250">
        <f ca="1">IF(OR('Summary Schedule'!$C$4="UESC", 'Summary Schedule'!$C$4="ESA"), "", IF(A9&lt;='Summary Schedule'!$C$27,'Amortization-HIDDEN'!K17,""))</f>
        <v>1485412</v>
      </c>
      <c r="D9" s="250">
        <f ca="1">IF('Summary Schedule'!$G$42="",IF(OR('Summary Schedule'!$C$4="UESC",'Summary Schedule'!$C$4="ESA"),"",IF(A9&lt;='Summary Schedule'!$C$27, INDIRECT("'Sch3-Perf Period Cash Flow'!"&amp;LEFT(ADDRESS(1,ROW(A4),4,1),(ROW(A4)&gt;26)+1)&amp;$A$9+22&amp;""),"")),"Term&gt;25Yrs")</f>
        <v>1485411</v>
      </c>
      <c r="E9" s="250">
        <f ca="1">IFERROR(IF(A9&lt;='Summary Schedule'!$C$27,C9-D9,""),"")</f>
        <v>1</v>
      </c>
      <c r="F9" s="85"/>
      <c r="G9" s="85"/>
      <c r="H9" s="17"/>
      <c r="I9" s="17"/>
    </row>
    <row r="10" spans="1:9" ht="18" customHeight="1" thickBot="1">
      <c r="A10" s="108">
        <v>2</v>
      </c>
      <c r="B10" s="250">
        <f ca="1">IF(OR('Summary Schedule'!$C$4="UESC", 'Summary Schedule'!$C$4="ESA"), "", IF(A10&lt;='Summary Schedule'!$C$27,'Itemized Costs-HIDDEN'!L6,""))</f>
        <v>1646945.9187518852</v>
      </c>
      <c r="C10" s="250">
        <f ca="1">IF(OR('Summary Schedule'!$C$4="UESC", 'Summary Schedule'!$C$4="ESA"), "", IF(A10&lt;='Summary Schedule'!$C$27,'Amortization-HIDDEN'!K18,""))</f>
        <v>1515190</v>
      </c>
      <c r="D10" s="250">
        <f ca="1">IF('Summary Schedule'!$G$42="",IF(OR('Summary Schedule'!$C$4="UESC",'Summary Schedule'!$C$4="ESA"),"",IF(A10&lt;='Summary Schedule'!$C$27, INDIRECT("'Sch3-Perf Period Cash Flow'!"&amp;LEFT(ADDRESS(1,ROW(A5),4,1),(ROW(A5)&gt;26)+1)&amp;$A$9+22&amp;""),"")),"Term&gt;25Yrs")</f>
        <v>1515189</v>
      </c>
      <c r="E10" s="250">
        <f ca="1">IFERROR(IF(A10&lt;='Summary Schedule'!$C$27,C10-D10,""),"")</f>
        <v>1</v>
      </c>
      <c r="F10" s="85"/>
      <c r="G10" s="17"/>
      <c r="H10" s="17"/>
      <c r="I10" s="17"/>
    </row>
    <row r="11" spans="1:9" ht="18" customHeight="1" thickBot="1">
      <c r="A11" s="108">
        <v>3</v>
      </c>
      <c r="B11" s="250">
        <f ca="1">IF(OR('Summary Schedule'!$C$4="UESC", 'Summary Schedule'!$C$4="ESA"), "", IF(A11&lt;='Summary Schedule'!$C$27,'Itemized Costs-HIDDEN'!L7,""))</f>
        <v>1680120.8830454326</v>
      </c>
      <c r="C11" s="250">
        <f ca="1">IF(OR('Summary Schedule'!$C$4="UESC", 'Summary Schedule'!$C$4="ESA"), "", IF(A11&lt;='Summary Schedule'!$C$27,'Amortization-HIDDEN'!K19,""))</f>
        <v>1545711</v>
      </c>
      <c r="D11" s="250">
        <f ca="1">IF('Summary Schedule'!$G$42="",IF(OR('Summary Schedule'!$C$4="UESC",'Summary Schedule'!$C$4="ESA"),"",IF(A11&lt;='Summary Schedule'!$C$27, INDIRECT("'Sch3-Perf Period Cash Flow'!"&amp;LEFT(ADDRESS(1,ROW(A6),4,1),(ROW(A6)&gt;26)+1)&amp;$A$9+22&amp;""),"")),"Term&gt;25Yrs")</f>
        <v>1545710</v>
      </c>
      <c r="E11" s="250">
        <f ca="1">IFERROR(IF(A11&lt;='Summary Schedule'!$C$27,C11-D11,""),"")</f>
        <v>1</v>
      </c>
      <c r="F11" s="85"/>
      <c r="G11" s="17"/>
      <c r="H11" s="17"/>
      <c r="I11" s="17"/>
    </row>
    <row r="12" spans="1:9" ht="18" customHeight="1" thickBot="1">
      <c r="A12" s="108">
        <v>4</v>
      </c>
      <c r="B12" s="250">
        <f ca="1">IF(OR('Summary Schedule'!$C$4="UESC", 'Summary Schedule'!$C$4="ESA"), "", IF(A12&lt;='Summary Schedule'!$C$27,'Itemized Costs-HIDDEN'!L8,""))</f>
        <v>1714126.6603804608</v>
      </c>
      <c r="C12" s="250">
        <f ca="1">IF(OR('Summary Schedule'!$C$4="UESC", 'Summary Schedule'!$C$4="ESA"), "", IF(A12&lt;='Summary Schedule'!$C$27,'Amortization-HIDDEN'!K20,""))</f>
        <v>1576997</v>
      </c>
      <c r="D12" s="250">
        <f ca="1">IF('Summary Schedule'!$G$42="",IF(OR('Summary Schedule'!$C$4="UESC",'Summary Schedule'!$C$4="ESA"),"",IF(A12&lt;='Summary Schedule'!$C$27, INDIRECT("'Sch3-Perf Period Cash Flow'!"&amp;LEFT(ADDRESS(1,ROW(A7),4,1),(ROW(A7)&gt;26)+1)&amp;$A$9+22&amp;""),"")),"Term&gt;25Yrs")</f>
        <v>1576996</v>
      </c>
      <c r="E12" s="250">
        <f ca="1">IFERROR(IF(A12&lt;='Summary Schedule'!$C$27,C12-D12,""),"")</f>
        <v>1</v>
      </c>
      <c r="F12" s="85"/>
      <c r="G12" s="17"/>
      <c r="H12" s="17"/>
      <c r="I12" s="17"/>
    </row>
    <row r="13" spans="1:9" ht="18" customHeight="1" thickBot="1">
      <c r="A13" s="108">
        <v>5</v>
      </c>
      <c r="B13" s="250">
        <f ca="1">IF(OR('Summary Schedule'!$C$4="UESC", 'Summary Schedule'!$C$4="ESA"), "", IF(A13&lt;='Summary Schedule'!$C$27,'Itemized Costs-HIDDEN'!L9,""))</f>
        <v>1748987.9512271811</v>
      </c>
      <c r="C13" s="250">
        <f ca="1">IF(OR('Summary Schedule'!$C$4="UESC", 'Summary Schedule'!$C$4="ESA"), "", IF(A13&lt;='Summary Schedule'!$C$27,'Amortization-HIDDEN'!K21,""))</f>
        <v>1609069</v>
      </c>
      <c r="D13" s="250">
        <f ca="1">IF('Summary Schedule'!$G$42="",IF(OR('Summary Schedule'!$C$4="UESC",'Summary Schedule'!$C$4="ESA"),"",IF(A13&lt;='Summary Schedule'!$C$27, INDIRECT("'Sch3-Perf Period Cash Flow'!"&amp;LEFT(ADDRESS(1,ROW(A8),4,1),(ROW(A8)&gt;26)+1)&amp;$A$9+22&amp;""),"")),"Term&gt;25Yrs")</f>
        <v>1609068</v>
      </c>
      <c r="E13" s="250">
        <f ca="1">IFERROR(IF(A13&lt;='Summary Schedule'!$C$27,C13-D13,""),"")</f>
        <v>1</v>
      </c>
      <c r="F13" s="85"/>
      <c r="G13" s="17"/>
      <c r="H13" s="17"/>
      <c r="I13" s="17"/>
    </row>
    <row r="14" spans="1:9" ht="18" customHeight="1" thickBot="1">
      <c r="A14" s="108">
        <v>6</v>
      </c>
      <c r="B14" s="250">
        <f ca="1">IF(OR('Summary Schedule'!$C$4="UESC", 'Summary Schedule'!$C$4="ESA"), "", IF(A14&lt;='Summary Schedule'!$C$27,'Itemized Costs-HIDDEN'!L10,""))</f>
        <v>1784730.2709780852</v>
      </c>
      <c r="C14" s="250">
        <f ca="1">IF(OR('Summary Schedule'!$C$4="UESC", 'Summary Schedule'!$C$4="ESA"), "", IF(A14&lt;='Summary Schedule'!$C$27,'Amortization-HIDDEN'!K22,""))</f>
        <v>1641952</v>
      </c>
      <c r="D14" s="250">
        <f ca="1">IF('Summary Schedule'!$G$42="",IF(OR('Summary Schedule'!$C$4="UESC",'Summary Schedule'!$C$4="ESA"),"",IF(A14&lt;='Summary Schedule'!$C$27, INDIRECT("'Sch3-Perf Period Cash Flow'!"&amp;LEFT(ADDRESS(1,ROW(A9),4,1),(ROW(A9)&gt;26)+1)&amp;$A$9+22&amp;""),"")),"Term&gt;25Yrs")</f>
        <v>1641951</v>
      </c>
      <c r="E14" s="250">
        <f ca="1">IFERROR(IF(A14&lt;='Summary Schedule'!$C$27,C14-D14,""),"")</f>
        <v>1</v>
      </c>
      <c r="F14" s="85"/>
      <c r="G14" s="17"/>
      <c r="H14" s="17"/>
      <c r="I14" s="17"/>
    </row>
    <row r="15" spans="1:9" ht="18" customHeight="1" thickBot="1">
      <c r="A15" s="108">
        <v>7</v>
      </c>
      <c r="B15" s="250">
        <f ca="1">IF(OR('Summary Schedule'!$C$4="UESC", 'Summary Schedule'!$C$4="ESA"), "", IF(A15&lt;='Summary Schedule'!$C$27,'Itemized Costs-HIDDEN'!L11,""))</f>
        <v>1821379.978350526</v>
      </c>
      <c r="C15" s="250">
        <f ca="1">IF(OR('Summary Schedule'!$C$4="UESC", 'Summary Schedule'!$C$4="ESA"), "", IF(A15&lt;='Summary Schedule'!$C$27,'Amortization-HIDDEN'!K23,""))</f>
        <v>1675670</v>
      </c>
      <c r="D15" s="250">
        <f ca="1">IF('Summary Schedule'!$G$42="",IF(OR('Summary Schedule'!$C$4="UESC",'Summary Schedule'!$C$4="ESA"),"",IF(A15&lt;='Summary Schedule'!$C$27, INDIRECT("'Sch3-Perf Period Cash Flow'!"&amp;LEFT(ADDRESS(1,ROW(A10),4,1),(ROW(A10)&gt;26)+1)&amp;$A$9+22&amp;""),"")),"Term&gt;25Yrs")</f>
        <v>1675669</v>
      </c>
      <c r="E15" s="250">
        <f ca="1">IFERROR(IF(A15&lt;='Summary Schedule'!$C$27,C15-D15,""),"")</f>
        <v>1</v>
      </c>
      <c r="F15" s="85"/>
      <c r="G15" s="17"/>
      <c r="H15" s="17"/>
      <c r="I15" s="17"/>
    </row>
    <row r="16" spans="1:9" ht="18" customHeight="1" thickBot="1">
      <c r="A16" s="108">
        <v>8</v>
      </c>
      <c r="B16" s="250">
        <f ca="1">IF(OR('Summary Schedule'!$C$4="UESC", 'Summary Schedule'!$C$4="ESA"), "", IF(A16&lt;='Summary Schedule'!$C$27,'Itemized Costs-HIDDEN'!L12,""))</f>
        <v>1858964.3048071074</v>
      </c>
      <c r="C16" s="250">
        <f ca="1">IF(OR('Summary Schedule'!$C$4="UESC", 'Summary Schedule'!$C$4="ESA"), "", IF(A16&lt;='Summary Schedule'!$C$27,'Amortization-HIDDEN'!K24,""))</f>
        <v>1710247</v>
      </c>
      <c r="D16" s="250">
        <f ca="1">IF('Summary Schedule'!$G$42="",IF(OR('Summary Schedule'!$C$4="UESC",'Summary Schedule'!$C$4="ESA"),"",IF(A16&lt;='Summary Schedule'!$C$27, INDIRECT("'Sch3-Perf Period Cash Flow'!"&amp;LEFT(ADDRESS(1,ROW(A11),4,1),(ROW(A11)&gt;26)+1)&amp;$A$9+22&amp;""),"")),"Term&gt;25Yrs")</f>
        <v>1710246</v>
      </c>
      <c r="E16" s="250">
        <f ca="1">IFERROR(IF(A16&lt;='Summary Schedule'!$C$27,C16-D16,""),"")</f>
        <v>1</v>
      </c>
      <c r="F16" s="85"/>
      <c r="G16" s="17"/>
      <c r="H16" s="17"/>
      <c r="I16" s="17"/>
    </row>
    <row r="17" spans="1:9" ht="18" customHeight="1" thickBot="1">
      <c r="A17" s="108">
        <v>9</v>
      </c>
      <c r="B17" s="250">
        <f ca="1">IF(OR('Summary Schedule'!$C$4="UESC", 'Summary Schedule'!$C$4="ESA"), "", IF(A17&lt;='Summary Schedule'!$C$27,'Itemized Costs-HIDDEN'!L13,""))</f>
        <v>1897511.3850308808</v>
      </c>
      <c r="C17" s="250">
        <f ca="1">IF(OR('Summary Schedule'!$C$4="UESC", 'Summary Schedule'!$C$4="ESA"), "", IF(A17&lt;='Summary Schedule'!$C$27,'Amortization-HIDDEN'!K25,""))</f>
        <v>1745710</v>
      </c>
      <c r="D17" s="250">
        <f ca="1">IF('Summary Schedule'!$G$42="",IF(OR('Summary Schedule'!$C$4="UESC",'Summary Schedule'!$C$4="ESA"),"",IF(A17&lt;='Summary Schedule'!$C$27, INDIRECT("'Sch3-Perf Period Cash Flow'!"&amp;LEFT(ADDRESS(1,ROW(A12),4,1),(ROW(A12)&gt;26)+1)&amp;$A$9+22&amp;""),"")),"Term&gt;25Yrs")</f>
        <v>1745709</v>
      </c>
      <c r="E17" s="250">
        <f ca="1">IFERROR(IF(A17&lt;='Summary Schedule'!$C$27,C17-D17,""),"")</f>
        <v>1</v>
      </c>
      <c r="F17" s="85"/>
      <c r="G17" s="17"/>
      <c r="H17" s="17"/>
      <c r="I17" s="17"/>
    </row>
    <row r="18" spans="1:9" ht="18" customHeight="1" thickBot="1">
      <c r="A18" s="108">
        <v>10</v>
      </c>
      <c r="B18" s="250">
        <f ca="1">IF(OR('Summary Schedule'!$C$4="UESC", 'Summary Schedule'!$C$4="ESA"), "", IF(A18&lt;='Summary Schedule'!$C$27,'Itemized Costs-HIDDEN'!L14,""))</f>
        <v>1937050.2884936996</v>
      </c>
      <c r="C18" s="250">
        <f ca="1">IF(OR('Summary Schedule'!$C$4="UESC", 'Summary Schedule'!$C$4="ESA"), "", IF(A18&lt;='Summary Schedule'!$C$27,'Amortization-HIDDEN'!K26,""))</f>
        <v>1782086</v>
      </c>
      <c r="D18" s="250">
        <f ca="1">IF('Summary Schedule'!$G$42="",IF(OR('Summary Schedule'!$C$4="UESC",'Summary Schedule'!$C$4="ESA"),"",IF(A18&lt;='Summary Schedule'!$C$27, INDIRECT("'Sch3-Perf Period Cash Flow'!"&amp;LEFT(ADDRESS(1,ROW(A13),4,1),(ROW(A13)&gt;26)+1)&amp;$A$9+22&amp;""),"")),"Term&gt;25Yrs")</f>
        <v>1782085</v>
      </c>
      <c r="E18" s="250">
        <f ca="1">IFERROR(IF(A18&lt;='Summary Schedule'!$C$27,C18-D18,""),"")</f>
        <v>1</v>
      </c>
      <c r="F18" s="85"/>
      <c r="G18" s="17"/>
      <c r="H18" s="17"/>
      <c r="I18" s="17"/>
    </row>
    <row r="19" spans="1:9" ht="18" customHeight="1" thickBot="1">
      <c r="A19" s="108">
        <v>11</v>
      </c>
      <c r="B19" s="250">
        <f ca="1">IF(OR('Summary Schedule'!$C$4="UESC", 'Summary Schedule'!$C$4="ESA"), "", IF(A19&lt;='Summary Schedule'!$C$27,'Itemized Costs-HIDDEN'!L15,""))</f>
        <v>1977611.0521574924</v>
      </c>
      <c r="C19" s="250">
        <f ca="1">IF(OR('Summary Schedule'!$C$4="UESC", 'Summary Schedule'!$C$4="ESA"), "", IF(A19&lt;='Summary Schedule'!$C$27,'Amortization-HIDDEN'!K27,""))</f>
        <v>1819402</v>
      </c>
      <c r="D19" s="250">
        <f ca="1">IF('Summary Schedule'!$G$42="",IF(OR('Summary Schedule'!$C$4="UESC",'Summary Schedule'!$C$4="ESA"),"",IF(A19&lt;='Summary Schedule'!$C$27, INDIRECT("'Sch3-Perf Period Cash Flow'!"&amp;LEFT(ADDRESS(1,ROW(A14),4,1),(ROW(A14)&gt;26)+1)&amp;$A$9+22&amp;""),"")),"Term&gt;25Yrs")</f>
        <v>1819401</v>
      </c>
      <c r="E19" s="250">
        <f ca="1">IFERROR(IF(A19&lt;='Summary Schedule'!$C$27,C19-D19,""),"")</f>
        <v>1</v>
      </c>
      <c r="F19" s="85"/>
      <c r="G19" s="17"/>
      <c r="H19" s="17"/>
      <c r="I19" s="17"/>
    </row>
    <row r="20" spans="1:9" ht="18" customHeight="1" thickBot="1">
      <c r="A20" s="108">
        <v>12</v>
      </c>
      <c r="B20" s="250">
        <f ca="1">IF(OR('Summary Schedule'!$C$4="UESC", 'Summary Schedule'!$C$4="ESA"), "", IF(A20&lt;='Summary Schedule'!$C$27,'Itemized Costs-HIDDEN'!L16,""))</f>
        <v>2019224.7143496685</v>
      </c>
      <c r="C20" s="250">
        <f ca="1">IF(OR('Summary Schedule'!$C$4="UESC", 'Summary Schedule'!$C$4="ESA"), "", IF(A20&lt;='Summary Schedule'!$C$27,'Amortization-HIDDEN'!K28,""))</f>
        <v>1857687</v>
      </c>
      <c r="D20" s="250">
        <f ca="1">IF('Summary Schedule'!$G$42="",IF(OR('Summary Schedule'!$C$4="UESC",'Summary Schedule'!$C$4="ESA"),"",IF(A20&lt;='Summary Schedule'!$C$27, INDIRECT("'Sch3-Perf Period Cash Flow'!"&amp;LEFT(ADDRESS(1,ROW(A15),4,1),(ROW(A15)&gt;26)+1)&amp;$A$9+22&amp;""),"")),"Term&gt;25Yrs")</f>
        <v>1857686</v>
      </c>
      <c r="E20" s="250">
        <f ca="1">IFERROR(IF(A20&lt;='Summary Schedule'!$C$27,C20-D20,""),"")</f>
        <v>1</v>
      </c>
      <c r="F20" s="85"/>
    </row>
    <row r="21" spans="1:9" ht="18" customHeight="1" thickBot="1">
      <c r="A21" s="108">
        <v>13</v>
      </c>
      <c r="B21" s="250">
        <f ca="1">IF(OR('Summary Schedule'!$C$4="UESC", 'Summary Schedule'!$C$4="ESA"), "", IF(A21&lt;='Summary Schedule'!$C$27,'Itemized Costs-HIDDEN'!L17,""))</f>
        <v>2061923.3498553813</v>
      </c>
      <c r="C21" s="250">
        <f ca="1">IF(OR('Summary Schedule'!$C$4="UESC", 'Summary Schedule'!$C$4="ESA"), "", IF(A21&lt;='Summary Schedule'!$C$27,'Amortization-HIDDEN'!K29,""))</f>
        <v>1896969</v>
      </c>
      <c r="D21" s="250">
        <f ca="1">IF('Summary Schedule'!$G$42="",IF(OR('Summary Schedule'!$C$4="UESC",'Summary Schedule'!$C$4="ESA"),"",IF(A21&lt;='Summary Schedule'!$C$27, INDIRECT("'Sch3-Perf Period Cash Flow'!"&amp;LEFT(ADDRESS(1,ROW(A16),4,1),(ROW(A16)&gt;26)+1)&amp;$A$9+22&amp;""),"")),"Term&gt;25Yrs")</f>
        <v>1896968</v>
      </c>
      <c r="E21" s="250">
        <f ca="1">IFERROR(IF(A21&lt;='Summary Schedule'!$C$27,C21-D21,""),"")</f>
        <v>1</v>
      </c>
      <c r="F21" s="85"/>
    </row>
    <row r="22" spans="1:9" ht="18" customHeight="1" thickBot="1">
      <c r="A22" s="108">
        <v>14</v>
      </c>
      <c r="B22" s="250">
        <f ca="1">IF(OR('Summary Schedule'!$C$4="UESC", 'Summary Schedule'!$C$4="ESA"), "", IF(A22&lt;='Summary Schedule'!$C$27,'Itemized Costs-HIDDEN'!L18,""))</f>
        <v>2105740.1062709414</v>
      </c>
      <c r="C22" s="250">
        <f ca="1">IF(OR('Summary Schedule'!$C$4="UESC", 'Summary Schedule'!$C$4="ESA"), "", IF(A22&lt;='Summary Schedule'!$C$27,'Amortization-HIDDEN'!K30,""))</f>
        <v>1937281</v>
      </c>
      <c r="D22" s="250">
        <f ca="1">IF('Summary Schedule'!$G$42="",IF(OR('Summary Schedule'!$C$4="UESC",'Summary Schedule'!$C$4="ESA"),"",IF(A22&lt;='Summary Schedule'!$C$27, INDIRECT("'Sch3-Perf Period Cash Flow'!"&amp;LEFT(ADDRESS(1,ROW(A17),4,1),(ROW(A17)&gt;26)+1)&amp;$A$9+22&amp;""),"")),"Term&gt;25Yrs")</f>
        <v>1937280</v>
      </c>
      <c r="E22" s="250">
        <f ca="1">IFERROR(IF(A22&lt;='Summary Schedule'!$C$27,C22-D22,""),"")</f>
        <v>1</v>
      </c>
      <c r="F22" s="85"/>
    </row>
    <row r="23" spans="1:9" ht="18" customHeight="1" thickBot="1">
      <c r="A23" s="108">
        <v>15</v>
      </c>
      <c r="B23" s="250">
        <f ca="1">IF(OR('Summary Schedule'!$C$4="UESC", 'Summary Schedule'!$C$4="ESA"), "", IF(A23&lt;='Summary Schedule'!$C$27,'Itemized Costs-HIDDEN'!L19,""))</f>
        <v>2150709.2416642914</v>
      </c>
      <c r="C23" s="250">
        <f ca="1">IF(OR('Summary Schedule'!$C$4="UESC", 'Summary Schedule'!$C$4="ESA"), "", IF(A23&lt;='Summary Schedule'!$C$27,'Amortization-HIDDEN'!K31,""))</f>
        <v>1978653</v>
      </c>
      <c r="D23" s="250">
        <f ca="1">IF('Summary Schedule'!$G$42="",IF(OR('Summary Schedule'!$C$4="UESC",'Summary Schedule'!$C$4="ESA"),"",IF(A23&lt;='Summary Schedule'!$C$27, INDIRECT("'Sch3-Perf Period Cash Flow'!"&amp;LEFT(ADDRESS(1,ROW(A18),4,1),(ROW(A18)&gt;26)+1)&amp;$A$9+22&amp;""),"")),"Term&gt;25Yrs")</f>
        <v>1978652</v>
      </c>
      <c r="E23" s="250">
        <f ca="1">IFERROR(IF(A23&lt;='Summary Schedule'!$C$27,C23-D23,""),"")</f>
        <v>1</v>
      </c>
      <c r="F23" s="85"/>
    </row>
    <row r="24" spans="1:9" ht="18" customHeight="1" thickBot="1">
      <c r="A24" s="108">
        <v>16</v>
      </c>
      <c r="B24" s="250">
        <f ca="1">IF(OR('Summary Schedule'!$C$4="UESC", 'Summary Schedule'!$C$4="ESA"), "", IF(A24&lt;='Summary Schedule'!$C$27,'Itemized Costs-HIDDEN'!L20,""))</f>
        <v>2196866.1635901444</v>
      </c>
      <c r="C24" s="250">
        <f ca="1">IF(OR('Summary Schedule'!$C$4="UESC", 'Summary Schedule'!$C$4="ESA"), "", IF(A24&lt;='Summary Schedule'!$C$27,'Amortization-HIDDEN'!K32,""))</f>
        <v>2021117</v>
      </c>
      <c r="D24" s="250">
        <f ca="1">IF('Summary Schedule'!$G$42="",IF(OR('Summary Schedule'!$C$4="UESC",'Summary Schedule'!$C$4="ESA"),"",IF(A24&lt;='Summary Schedule'!$C$27, INDIRECT("'Sch3-Perf Period Cash Flow'!"&amp;LEFT(ADDRESS(1,ROW(A19),4,1),(ROW(A19)&gt;26)+1)&amp;$A$9+22&amp;""),"")),"Term&gt;25Yrs")</f>
        <v>2021116</v>
      </c>
      <c r="E24" s="250">
        <f ca="1">IFERROR(IF(A24&lt;='Summary Schedule'!$C$27,C24-D24,""),"")</f>
        <v>1</v>
      </c>
      <c r="F24" s="85"/>
    </row>
    <row r="25" spans="1:9" ht="18" customHeight="1" thickBot="1">
      <c r="A25" s="108">
        <v>17</v>
      </c>
      <c r="B25" s="250">
        <f ca="1">IF(OR('Summary Schedule'!$C$4="UESC", 'Summary Schedule'!$C$4="ESA"), "", IF(A25&lt;='Summary Schedule'!$C$27,'Itemized Costs-HIDDEN'!L21,""))</f>
        <v>2244247.4695091262</v>
      </c>
      <c r="C25" s="250">
        <f ca="1">IF(OR('Summary Schedule'!$C$4="UESC", 'Summary Schedule'!$C$4="ESA"), "", IF(A25&lt;='Summary Schedule'!$C$27,'Amortization-HIDDEN'!K33,""))</f>
        <v>2064708</v>
      </c>
      <c r="D25" s="250">
        <f ca="1">IF('Summary Schedule'!$G$42="",IF(OR('Summary Schedule'!$C$4="UESC",'Summary Schedule'!$C$4="ESA"),"",IF(A25&lt;='Summary Schedule'!$C$27, INDIRECT("'Sch3-Perf Period Cash Flow'!"&amp;LEFT(ADDRESS(1,ROW(A20),4,1),(ROW(A20)&gt;26)+1)&amp;$A$9+22&amp;""),"")),"Term&gt;25Yrs")</f>
        <v>2064707</v>
      </c>
      <c r="E25" s="250">
        <f ca="1">IFERROR(IF(A25&lt;='Summary Schedule'!$C$27,C25-D25,""),"")</f>
        <v>1</v>
      </c>
      <c r="F25" s="85"/>
    </row>
    <row r="26" spans="1:9" ht="18" customHeight="1" thickBot="1">
      <c r="A26" s="108">
        <v>18</v>
      </c>
      <c r="B26" s="250">
        <f ca="1">IF(OR('Summary Schedule'!$C$4="UESC", 'Summary Schedule'!$C$4="ESA"), "", IF(A26&lt;='Summary Schedule'!$C$27,'Itemized Costs-HIDDEN'!L22,""))</f>
        <v>2292890.9886620748</v>
      </c>
      <c r="C26" s="250">
        <f ca="1">IF(OR('Summary Schedule'!$C$4="UESC", 'Summary Schedule'!$C$4="ESA"), "", IF(A26&lt;='Summary Schedule'!$C$27,'Amortization-HIDDEN'!K34,""))</f>
        <v>2109460</v>
      </c>
      <c r="D26" s="250">
        <f ca="1">IF('Summary Schedule'!$G$42="",IF(OR('Summary Schedule'!$C$4="UESC",'Summary Schedule'!$C$4="ESA"),"",IF(A26&lt;='Summary Schedule'!$C$27, INDIRECT("'Sch3-Perf Period Cash Flow'!"&amp;LEFT(ADDRESS(1,ROW(A21),4,1),(ROW(A21)&gt;26)+1)&amp;$A$9+22&amp;""),"")),"Term&gt;25Yrs")</f>
        <v>1261945</v>
      </c>
      <c r="E26" s="250">
        <f ca="1">IFERROR(IF(A26&lt;='Summary Schedule'!$C$27,C26-D26,""),"")</f>
        <v>847515</v>
      </c>
      <c r="F26" s="85"/>
    </row>
    <row r="27" spans="1:9" ht="18" customHeight="1" thickBot="1">
      <c r="A27" s="108">
        <v>19</v>
      </c>
      <c r="B27" s="250"/>
      <c r="C27" s="250"/>
      <c r="D27" s="250"/>
      <c r="E27" s="250"/>
      <c r="F27" s="85"/>
    </row>
    <row r="28" spans="1:9" ht="18" customHeight="1" thickBot="1">
      <c r="A28" s="108">
        <v>20</v>
      </c>
      <c r="B28" s="250" t="str">
        <f ca="1">IF(OR('Summary Schedule'!$C$4="UESC", 'Summary Schedule'!$C$4="ESA"), "", IF(A28&lt;='Summary Schedule'!$C$27,'Itemized Costs-HIDDEN'!L24,""))</f>
        <v/>
      </c>
      <c r="C28" s="250" t="str">
        <f ca="1">IF(OR('Summary Schedule'!$C$4="UESC", 'Summary Schedule'!$C$4="ESA"), "", IF(A28&lt;='Summary Schedule'!$C$27,'Amortization-HIDDEN'!K36,""))</f>
        <v/>
      </c>
      <c r="D28" s="250" t="str">
        <f ca="1">IF('Summary Schedule'!$G$42="",IF(OR('Summary Schedule'!$C$4="UESC",'Summary Schedule'!$C$4="ESA"),"",IF(A28&lt;='Summary Schedule'!$C$27, INDIRECT("'Sch3-Perf Period Cash Flow'!"&amp;LEFT(ADDRESS(1,ROW(A23),4,1),(ROW(A23)&gt;26)+1)&amp;$A$9+22&amp;""),"")),"Term&gt;25Yrs")</f>
        <v/>
      </c>
      <c r="E28" s="250" t="str">
        <f ca="1">IFERROR(IF(A28&lt;='Summary Schedule'!$C$27,C28-D28,""),"")</f>
        <v/>
      </c>
      <c r="F28" s="85"/>
    </row>
    <row r="29" spans="1:9" ht="18" customHeight="1" thickBot="1">
      <c r="A29" s="108">
        <v>21</v>
      </c>
      <c r="B29" s="250" t="str">
        <f ca="1">IF(OR('Summary Schedule'!$C$4="UESC", 'Summary Schedule'!$C$4="ESA"), "", IF(A29&lt;='Summary Schedule'!$C$27,'Itemized Costs-HIDDEN'!L25,""))</f>
        <v/>
      </c>
      <c r="C29" s="250" t="str">
        <f ca="1">IF(OR('Summary Schedule'!$C$4="UESC", 'Summary Schedule'!$C$4="ESA"), "", IF(A29&lt;='Summary Schedule'!$C$27,'Amortization-HIDDEN'!K37,""))</f>
        <v/>
      </c>
      <c r="D29" s="250" t="str">
        <f ca="1">IF('Summary Schedule'!$G$42="",IF(OR('Summary Schedule'!$C$4="UESC",'Summary Schedule'!$C$4="ESA"),"",IF(A29&lt;='Summary Schedule'!$C$27, INDIRECT("'Sch3-Perf Period Cash Flow'!"&amp;LEFT(ADDRESS(1,ROW(A24),4,1),(ROW(A24)&gt;26)+1)&amp;$A$9+22&amp;""),"")),"Term&gt;25Yrs")</f>
        <v/>
      </c>
      <c r="E29" s="250" t="str">
        <f ca="1">IFERROR(IF(A29&lt;='Summary Schedule'!$C$27,C29-D29,""),"")</f>
        <v/>
      </c>
      <c r="F29" s="85"/>
    </row>
    <row r="30" spans="1:9" ht="18" customHeight="1" thickBot="1">
      <c r="A30" s="108">
        <v>22</v>
      </c>
      <c r="B30" s="250" t="str">
        <f ca="1">IF(OR('Summary Schedule'!$C$4="UESC", 'Summary Schedule'!$C$4="ESA"), "", IF(A30&lt;='Summary Schedule'!$C$27,'Itemized Costs-HIDDEN'!L26,""))</f>
        <v/>
      </c>
      <c r="C30" s="250" t="str">
        <f ca="1">IF(OR('Summary Schedule'!$C$4="UESC", 'Summary Schedule'!$C$4="ESA"), "", IF(A30&lt;='Summary Schedule'!$C$27,'Amortization-HIDDEN'!K38,""))</f>
        <v/>
      </c>
      <c r="D30" s="250" t="str">
        <f ca="1">IF('Summary Schedule'!$G$42="",IF(OR('Summary Schedule'!$C$4="UESC",'Summary Schedule'!$C$4="ESA"),"",IF(A30&lt;='Summary Schedule'!$C$27, INDIRECT("'Sch3-Perf Period Cash Flow'!"&amp;LEFT(ADDRESS(1,ROW(A25),4,1),(ROW(A25)&gt;26)+1)&amp;$A$9+22&amp;""),"")),"Term&gt;25Yrs")</f>
        <v/>
      </c>
      <c r="E30" s="250" t="str">
        <f ca="1">IFERROR(IF(A30&lt;='Summary Schedule'!$C$27,C30-D30,""),"")</f>
        <v/>
      </c>
      <c r="F30" s="85"/>
    </row>
    <row r="31" spans="1:9" ht="18" customHeight="1" thickBot="1">
      <c r="A31" s="108">
        <v>23</v>
      </c>
      <c r="B31" s="250" t="str">
        <f ca="1">IF(OR('Summary Schedule'!$C$4="UESC", 'Summary Schedule'!$C$4="ESA"), "", IF(A31&lt;='Summary Schedule'!$C$27,'Itemized Costs-HIDDEN'!L27,""))</f>
        <v/>
      </c>
      <c r="C31" s="250" t="str">
        <f ca="1">IF(OR('Summary Schedule'!$C$4="UESC", 'Summary Schedule'!$C$4="ESA"), "", IF(A31&lt;='Summary Schedule'!$C$27,'Amortization-HIDDEN'!K39,""))</f>
        <v/>
      </c>
      <c r="D31" s="250" t="str">
        <f ca="1">IF('Summary Schedule'!$G$42="",IF(OR('Summary Schedule'!$C$4="UESC",'Summary Schedule'!$C$4="ESA"),"",IF(A31&lt;='Summary Schedule'!$C$27, INDIRECT("'Sch3-Perf Period Cash Flow'!"&amp;LEFT(ADDRESS(1,ROW(A26),4,1),(ROW(A26)&gt;26)+1)&amp;$A$9+22&amp;""),"")),"Term&gt;25Yrs")</f>
        <v/>
      </c>
      <c r="E31" s="250" t="str">
        <f ca="1">IFERROR(IF(A31&lt;='Summary Schedule'!$C$27,C31-D31,""),"")</f>
        <v/>
      </c>
      <c r="F31" s="85"/>
    </row>
    <row r="32" spans="1:9" ht="18" customHeight="1" thickBot="1">
      <c r="A32" s="108">
        <v>24</v>
      </c>
      <c r="B32" s="250" t="str">
        <f ca="1">IF(OR('Summary Schedule'!$C$4="UESC", 'Summary Schedule'!$C$4="ESA"), "", IF(A32&lt;='Summary Schedule'!$C$27,'Itemized Costs-HIDDEN'!L28,""))</f>
        <v/>
      </c>
      <c r="C32" s="250" t="str">
        <f ca="1">IF(OR('Summary Schedule'!$C$4="UESC", 'Summary Schedule'!$C$4="ESA"), "", IF(A32&lt;='Summary Schedule'!$C$27,'Amortization-HIDDEN'!K40,""))</f>
        <v/>
      </c>
      <c r="D32" s="250" t="str">
        <f ca="1">IF('Summary Schedule'!$G$42="",IF(OR('Summary Schedule'!$C$4="UESC",'Summary Schedule'!$C$4="ESA"),"",IF(A32&lt;='Summary Schedule'!$C$27, INDIRECT("'Sch3-Perf Period Cash Flow'!"&amp;LEFT(ADDRESS(1,ROW(A27),4,1),(ROW(A27)&gt;26)+1)&amp;$A$9+22&amp;""),"")),"Term&gt;25Yrs")</f>
        <v/>
      </c>
      <c r="E32" s="250" t="str">
        <f ca="1">IFERROR(IF(A32&lt;='Summary Schedule'!$C$27,C32-D32,""),"")</f>
        <v/>
      </c>
      <c r="F32" s="85"/>
    </row>
    <row r="33" spans="1:6" ht="18" customHeight="1" thickBot="1">
      <c r="A33" s="108">
        <v>25</v>
      </c>
      <c r="B33" s="250" t="str">
        <f ca="1">IF(OR('Summary Schedule'!$C$4="UESC", 'Summary Schedule'!$C$4="ESA"), "", IF(A33&lt;='Summary Schedule'!$C$27,'Itemized Costs-HIDDEN'!L29,""))</f>
        <v/>
      </c>
      <c r="C33" s="250" t="str">
        <f ca="1">IF(OR('Summary Schedule'!$C$4="UESC", 'Summary Schedule'!$C$4="ESA"), "", IF(A33&lt;='Summary Schedule'!$C$27,'Amortization-HIDDEN'!K41,""))</f>
        <v/>
      </c>
      <c r="D33" s="250" t="str">
        <f ca="1">IF('Summary Schedule'!$G$42="",IF(OR('Summary Schedule'!$C$4="UESC",'Summary Schedule'!$C$4="ESA"),"",IF(A33&lt;='Summary Schedule'!$C$27, INDIRECT("'Sch3-Perf Period Cash Flow'!"&amp;LEFT(ADDRESS(1,ROW(A28),4,1),(ROW(A28)&gt;26)+1)&amp;$A$9+22&amp;""),"")),"Term&gt;25Yrs")</f>
        <v/>
      </c>
      <c r="E33" s="250" t="str">
        <f ca="1">IFERROR(IF(A33&lt;='Summary Schedule'!$C$27,C33-D33,""),"")</f>
        <v/>
      </c>
      <c r="F33" s="85"/>
    </row>
    <row r="34" spans="1:6" ht="18" hidden="1" customHeight="1" thickBot="1">
      <c r="A34" s="108">
        <v>26</v>
      </c>
      <c r="B34" s="250" t="str">
        <f ca="1">IF(OR('Summary Schedule'!$C$4="UESC", 'Summary Schedule'!$C$4="ESA"), "", IF(A34&lt;='Summary Schedule'!$C$27,'Itemized Costs-HIDDEN'!L30,""))</f>
        <v/>
      </c>
      <c r="C34" s="250" t="str">
        <f ca="1">IF(OR('Summary Schedule'!$C$4="UESC", 'Summary Schedule'!$C$4="ESA"), "", IF(A34&lt;='Summary Schedule'!$C$27,'Amortization-HIDDEN'!K42,""))</f>
        <v/>
      </c>
      <c r="D34" s="250" t="str">
        <f ca="1">IF('Summary Schedule'!$G$42="",IF(OR('Summary Schedule'!$C$4="UESC",'Summary Schedule'!$C$4="ESA"),"",IF(A34&lt;='Summary Schedule'!$C$27, INDIRECT("'Sch3-Perf Period Cash Flow'!"&amp;LEFT(ADDRESS(1,ROW(A29),4,1),(ROW(A29)&gt;26)+1)&amp;$A$9+22&amp;""),"")),"Term&gt;25Yrs")</f>
        <v/>
      </c>
      <c r="E34" s="250" t="str">
        <f ca="1">IFERROR(IF(A34&lt;='Summary Schedule'!$C$27,C34-D34,""),"")</f>
        <v/>
      </c>
      <c r="F34" s="85"/>
    </row>
    <row r="35" spans="1:6" ht="18" hidden="1" customHeight="1" thickBot="1">
      <c r="A35" s="108">
        <v>27</v>
      </c>
      <c r="B35" s="250" t="str">
        <f ca="1">IF(OR('Summary Schedule'!$C$4="UESC", 'Summary Schedule'!$C$4="ESA"), "", IF(A35&lt;='Summary Schedule'!$C$27,'Itemized Costs-HIDDEN'!L31,""))</f>
        <v/>
      </c>
      <c r="C35" s="250" t="str">
        <f ca="1">IF(OR('Summary Schedule'!$C$4="UESC", 'Summary Schedule'!$C$4="ESA"), "", IF(A35&lt;='Summary Schedule'!$C$27,'Amortization-HIDDEN'!K43,""))</f>
        <v/>
      </c>
      <c r="D35" s="250" t="str">
        <f ca="1">IF('Summary Schedule'!$G$42="",IF(OR('Summary Schedule'!$C$4="UESC",'Summary Schedule'!$C$4="ESA"),"",IF(A35&lt;='Summary Schedule'!$C$27, INDIRECT("'Sch3-Perf Period Cash Flow'!"&amp;LEFT(ADDRESS(1,ROW(A30),4,1),(ROW(A30)&gt;26)+1)&amp;$A$9+22&amp;""),"")),"Term&gt;25Yrs")</f>
        <v/>
      </c>
      <c r="E35" s="250" t="str">
        <f ca="1">IFERROR(IF(A35&lt;='Summary Schedule'!$C$27,C35-D35,""),"")</f>
        <v/>
      </c>
      <c r="F35" s="85"/>
    </row>
    <row r="36" spans="1:6" ht="18" hidden="1" customHeight="1" thickBot="1">
      <c r="A36" s="108">
        <v>28</v>
      </c>
      <c r="B36" s="250" t="str">
        <f ca="1">IF(OR('Summary Schedule'!$C$4="UESC", 'Summary Schedule'!$C$4="ESA"), "", IF(A36&lt;='Summary Schedule'!$C$27,'Itemized Costs-HIDDEN'!L32,""))</f>
        <v/>
      </c>
      <c r="C36" s="250" t="str">
        <f ca="1">IF(OR('Summary Schedule'!$C$4="UESC", 'Summary Schedule'!$C$4="ESA"), "", IF(A36&lt;='Summary Schedule'!$C$27,'Amortization-HIDDEN'!K44,""))</f>
        <v/>
      </c>
      <c r="D36" s="250" t="str">
        <f ca="1">IF('Summary Schedule'!$G$42="",IF(OR('Summary Schedule'!$C$4="UESC",'Summary Schedule'!$C$4="ESA"),"",IF(A36&lt;='Summary Schedule'!$C$27, INDIRECT("'Sch3-Perf Period Cash Flow'!"&amp;LEFT(ADDRESS(1,ROW(A31),4,1),(ROW(A31)&gt;26)+1)&amp;$A$9+22&amp;""),"")),"Term&gt;25Yrs")</f>
        <v/>
      </c>
      <c r="E36" s="250" t="str">
        <f ca="1">IFERROR(IF(A36&lt;='Summary Schedule'!$C$27,C36-D36,""),"")</f>
        <v/>
      </c>
      <c r="F36" s="85"/>
    </row>
    <row r="37" spans="1:6" ht="18" hidden="1" customHeight="1" thickBot="1">
      <c r="A37" s="108">
        <v>29</v>
      </c>
      <c r="B37" s="250" t="str">
        <f ca="1">IF(OR('Summary Schedule'!$C$4="UESC", 'Summary Schedule'!$C$4="ESA"), "", IF(A37&lt;='Summary Schedule'!$C$27,'Itemized Costs-HIDDEN'!L33,""))</f>
        <v/>
      </c>
      <c r="C37" s="250" t="str">
        <f ca="1">IF(OR('Summary Schedule'!$C$4="UESC", 'Summary Schedule'!$C$4="ESA"), "", IF(A37&lt;='Summary Schedule'!$C$27,'Amortization-HIDDEN'!K45,""))</f>
        <v/>
      </c>
      <c r="D37" s="250" t="str">
        <f ca="1">IF('Summary Schedule'!$G$42="",IF(OR('Summary Schedule'!$C$4="UESC",'Summary Schedule'!$C$4="ESA"),"",IF(A37&lt;='Summary Schedule'!$C$27, INDIRECT("'Sch3-Perf Period Cash Flow'!"&amp;LEFT(ADDRESS(1,ROW(A32),4,1),(ROW(A32)&gt;26)+1)&amp;$A$9+22&amp;""),"")),"Term&gt;25Yrs")</f>
        <v/>
      </c>
      <c r="E37" s="250" t="str">
        <f ca="1">IFERROR(IF(A37&lt;='Summary Schedule'!$C$27,C37-D37,""),"")</f>
        <v/>
      </c>
      <c r="F37" s="85"/>
    </row>
    <row r="38" spans="1:6" ht="18" hidden="1" customHeight="1" thickBot="1">
      <c r="A38" s="108">
        <v>30</v>
      </c>
      <c r="B38" s="250" t="str">
        <f ca="1">IF(OR('Summary Schedule'!$C$4="UESC", 'Summary Schedule'!$C$4="ESA"), "", IF(A38&lt;='Summary Schedule'!$C$27,'Itemized Costs-HIDDEN'!L34,""))</f>
        <v/>
      </c>
      <c r="C38" s="250" t="str">
        <f ca="1">IF(OR('Summary Schedule'!$C$4="UESC", 'Summary Schedule'!$C$4="ESA"), "", IF(A38&lt;='Summary Schedule'!$C$27,'Amortization-HIDDEN'!K46,""))</f>
        <v/>
      </c>
      <c r="D38" s="250" t="str">
        <f ca="1">IF('Summary Schedule'!$G$42="",IF(OR('Summary Schedule'!$C$4="UESC",'Summary Schedule'!$C$4="ESA"),"",IF(A38&lt;='Summary Schedule'!$C$27, INDIRECT("'Sch3-Perf Period Cash Flow'!"&amp;LEFT(ADDRESS(1,ROW(A33),4,1),(ROW(A33)&gt;26)+1)&amp;$A$9+22&amp;""),"")),"Term&gt;25Yrs")</f>
        <v/>
      </c>
      <c r="E38" s="250" t="str">
        <f ca="1">IFERROR(IF(A38&lt;='Summary Schedule'!$C$27,C38-D38,""),"")</f>
        <v/>
      </c>
      <c r="F38" s="85"/>
    </row>
    <row r="39" spans="1:6" ht="18" hidden="1" customHeight="1" thickBot="1">
      <c r="A39" s="108">
        <v>31</v>
      </c>
      <c r="B39" s="250" t="str">
        <f ca="1">IF(OR('Summary Schedule'!$C$4="UESC", 'Summary Schedule'!$C$4="ESA"), "", IF(A39&lt;='Summary Schedule'!$C$27,'Itemized Costs-HIDDEN'!L35,""))</f>
        <v/>
      </c>
      <c r="C39" s="250" t="str">
        <f ca="1">IF(OR('Summary Schedule'!$C$4="UESC", 'Summary Schedule'!$C$4="ESA"), "", IF(A39&lt;='Summary Schedule'!$C$27,'Amortization-HIDDEN'!K47,""))</f>
        <v/>
      </c>
      <c r="D39" s="250" t="str">
        <f ca="1">IF('Summary Schedule'!$G$42="",IF(OR('Summary Schedule'!$C$4="UESC",'Summary Schedule'!$C$4="ESA"),"",IF(A39&lt;='Summary Schedule'!$C$27, INDIRECT("'Sch3-Perf Period Cash Flow'!"&amp;LEFT(ADDRESS(1,ROW(A34),4,1),(ROW(A34)&gt;26)+1)&amp;$A$9+22&amp;""),"")),"Term&gt;25Yrs")</f>
        <v/>
      </c>
      <c r="E39" s="250" t="str">
        <f ca="1">IFERROR(IF(A39&lt;='Summary Schedule'!$C$27,C39-D39,""),"")</f>
        <v/>
      </c>
      <c r="F39" s="85"/>
    </row>
    <row r="40" spans="1:6" ht="18" hidden="1" customHeight="1" thickBot="1">
      <c r="A40" s="108">
        <v>32</v>
      </c>
      <c r="B40" s="250" t="str">
        <f ca="1">IF(OR('Summary Schedule'!$C$4="UESC", 'Summary Schedule'!$C$4="ESA"), "", IF(A40&lt;='Summary Schedule'!$C$27,'Itemized Costs-HIDDEN'!L36,""))</f>
        <v/>
      </c>
      <c r="C40" s="250" t="str">
        <f ca="1">IF(OR('Summary Schedule'!$C$4="UESC", 'Summary Schedule'!$C$4="ESA"), "", IF(A40&lt;='Summary Schedule'!$C$27,'Amortization-HIDDEN'!K48,""))</f>
        <v/>
      </c>
      <c r="D40" s="250" t="str">
        <f ca="1">IF('Summary Schedule'!$G$42="",IF(OR('Summary Schedule'!$C$4="UESC",'Summary Schedule'!$C$4="ESA"),"",IF(A40&lt;='Summary Schedule'!$C$27, INDIRECT("'Sch3-Perf Period Cash Flow'!"&amp;LEFT(ADDRESS(1,ROW(A35),4,1),(ROW(A35)&gt;26)+1)&amp;$A$9+22&amp;""),"")),"Term&gt;25Yrs")</f>
        <v/>
      </c>
      <c r="E40" s="250" t="str">
        <f ca="1">IFERROR(IF(A40&lt;='Summary Schedule'!$C$27,C40-D40,""),"")</f>
        <v/>
      </c>
      <c r="F40" s="85"/>
    </row>
    <row r="41" spans="1:6" ht="18" hidden="1" customHeight="1" thickBot="1">
      <c r="A41" s="108">
        <v>33</v>
      </c>
      <c r="B41" s="250" t="str">
        <f ca="1">IF(OR('Summary Schedule'!$C$4="UESC", 'Summary Schedule'!$C$4="ESA"), "", IF(A41&lt;='Summary Schedule'!$C$27,'Itemized Costs-HIDDEN'!L37,""))</f>
        <v/>
      </c>
      <c r="C41" s="250" t="str">
        <f ca="1">IF(OR('Summary Schedule'!$C$4="UESC", 'Summary Schedule'!$C$4="ESA"), "", IF(A41&lt;='Summary Schedule'!$C$27,'Amortization-HIDDEN'!K49,""))</f>
        <v/>
      </c>
      <c r="D41" s="250" t="str">
        <f ca="1">IF('Summary Schedule'!$G$42="",IF(OR('Summary Schedule'!$C$4="UESC",'Summary Schedule'!$C$4="ESA"),"",IF(A41&lt;='Summary Schedule'!$C$27, INDIRECT("'Sch3-Perf Period Cash Flow'!"&amp;LEFT(ADDRESS(1,ROW(A36),4,1),(ROW(A36)&gt;26)+1)&amp;$A$9+22&amp;""),"")),"Term&gt;25Yrs")</f>
        <v/>
      </c>
      <c r="E41" s="250" t="str">
        <f ca="1">IFERROR(IF(A41&lt;='Summary Schedule'!$C$27,C41-D41,""),"")</f>
        <v/>
      </c>
      <c r="F41" s="85"/>
    </row>
    <row r="42" spans="1:6" ht="18" hidden="1" customHeight="1" thickBot="1">
      <c r="A42" s="108">
        <v>34</v>
      </c>
      <c r="B42" s="250" t="str">
        <f ca="1">IF(OR('Summary Schedule'!$C$4="UESC", 'Summary Schedule'!$C$4="ESA"), "", IF(A42&lt;='Summary Schedule'!$C$27,'Itemized Costs-HIDDEN'!L38,""))</f>
        <v/>
      </c>
      <c r="C42" s="250" t="str">
        <f ca="1">IF(OR('Summary Schedule'!$C$4="UESC", 'Summary Schedule'!$C$4="ESA"), "", IF(A42&lt;='Summary Schedule'!$C$27,'Amortization-HIDDEN'!K50,""))</f>
        <v/>
      </c>
      <c r="D42" s="250" t="str">
        <f ca="1">IF('Summary Schedule'!$G$42="",IF(OR('Summary Schedule'!$C$4="UESC",'Summary Schedule'!$C$4="ESA"),"",IF(A42&lt;='Summary Schedule'!$C$27, INDIRECT("'Sch3-Perf Period Cash Flow'!"&amp;LEFT(ADDRESS(1,ROW(A37),4,1),(ROW(A37)&gt;26)+1)&amp;$A$9+22&amp;""),"")),"Term&gt;25Yrs")</f>
        <v/>
      </c>
      <c r="E42" s="250" t="str">
        <f ca="1">IFERROR(IF(A42&lt;='Summary Schedule'!$C$27,C42-D42,""),"")</f>
        <v/>
      </c>
      <c r="F42" s="85"/>
    </row>
    <row r="43" spans="1:6" ht="18" hidden="1" customHeight="1" thickBot="1">
      <c r="A43" s="108">
        <v>35</v>
      </c>
      <c r="B43" s="250" t="str">
        <f ca="1">IF(OR('Summary Schedule'!$C$4="UESC", 'Summary Schedule'!$C$4="ESA"), "", IF(A43&lt;='Summary Schedule'!$C$27,'Itemized Costs-HIDDEN'!L39,""))</f>
        <v/>
      </c>
      <c r="C43" s="250" t="str">
        <f ca="1">IF(OR('Summary Schedule'!$C$4="UESC", 'Summary Schedule'!$C$4="ESA"), "", IF(A43&lt;='Summary Schedule'!$C$27,'Amortization-HIDDEN'!K51,""))</f>
        <v/>
      </c>
      <c r="D43" s="250" t="str">
        <f ca="1">IF('Summary Schedule'!$G$42="",IF(OR('Summary Schedule'!$C$4="UESC",'Summary Schedule'!$C$4="ESA"),"",IF(A43&lt;='Summary Schedule'!$C$27, INDIRECT("'Sch3-Perf Period Cash Flow'!"&amp;LEFT(ADDRESS(1,ROW(A38),4,1),(ROW(A38)&gt;26)+1)&amp;$A$9+22&amp;""),"")),"Term&gt;25Yrs")</f>
        <v/>
      </c>
      <c r="E43" s="250" t="str">
        <f ca="1">IFERROR(IF(A43&lt;='Summary Schedule'!$C$27,C43-D43,""),"")</f>
        <v/>
      </c>
      <c r="F43" s="85"/>
    </row>
    <row r="44" spans="1:6" ht="18" hidden="1" customHeight="1" thickBot="1">
      <c r="A44" s="108">
        <v>36</v>
      </c>
      <c r="B44" s="250" t="str">
        <f ca="1">IF(OR('Summary Schedule'!$C$4="UESC", 'Summary Schedule'!$C$4="ESA"), "", IF(A44&lt;='Summary Schedule'!$C$27,'Itemized Costs-HIDDEN'!L40,""))</f>
        <v/>
      </c>
      <c r="C44" s="250" t="str">
        <f ca="1">IF(OR('Summary Schedule'!$C$4="UESC", 'Summary Schedule'!$C$4="ESA"), "", IF(A44&lt;='Summary Schedule'!$C$27,'Amortization-HIDDEN'!K52,""))</f>
        <v/>
      </c>
      <c r="D44" s="250" t="str">
        <f ca="1">IF('Summary Schedule'!$G$42="",IF(OR('Summary Schedule'!$C$4="UESC",'Summary Schedule'!$C$4="ESA"),"",IF(A44&lt;='Summary Schedule'!$C$27, INDIRECT("'Sch3-Perf Period Cash Flow'!"&amp;LEFT(ADDRESS(1,ROW(A39),4,1),(ROW(A39)&gt;26)+1)&amp;$A$9+22&amp;""),"")),"Term&gt;25Yrs")</f>
        <v/>
      </c>
      <c r="E44" s="250" t="str">
        <f ca="1">IFERROR(IF(A44&lt;='Summary Schedule'!$C$27,C44-D44,""),"")</f>
        <v/>
      </c>
      <c r="F44" s="85"/>
    </row>
    <row r="45" spans="1:6" ht="18" hidden="1" customHeight="1" thickBot="1">
      <c r="A45" s="108">
        <v>37</v>
      </c>
      <c r="B45" s="250" t="str">
        <f ca="1">IF(OR('Summary Schedule'!$C$4="UESC", 'Summary Schedule'!$C$4="ESA"), "", IF(A45&lt;='Summary Schedule'!$C$27,'Itemized Costs-HIDDEN'!L41,""))</f>
        <v/>
      </c>
      <c r="C45" s="250" t="str">
        <f ca="1">IF(OR('Summary Schedule'!$C$4="UESC", 'Summary Schedule'!$C$4="ESA"), "", IF(A45&lt;='Summary Schedule'!$C$27,'Amortization-HIDDEN'!K53,""))</f>
        <v/>
      </c>
      <c r="D45" s="250" t="str">
        <f ca="1">IF('Summary Schedule'!$G$42="",IF(OR('Summary Schedule'!$C$4="UESC",'Summary Schedule'!$C$4="ESA"),"",IF(A45&lt;='Summary Schedule'!$C$27, INDIRECT("'Sch3-Perf Period Cash Flow'!"&amp;LEFT(ADDRESS(1,ROW(A40),4,1),(ROW(A40)&gt;26)+1)&amp;$A$9+22&amp;""),"")),"Term&gt;25Yrs")</f>
        <v/>
      </c>
      <c r="E45" s="250" t="str">
        <f ca="1">IFERROR(IF(A45&lt;='Summary Schedule'!$C$27,C45-D45,""),"")</f>
        <v/>
      </c>
      <c r="F45" s="85"/>
    </row>
    <row r="46" spans="1:6" ht="18" hidden="1" customHeight="1" thickBot="1">
      <c r="A46" s="108">
        <v>38</v>
      </c>
      <c r="B46" s="250" t="str">
        <f ca="1">IF(OR('Summary Schedule'!$C$4="UESC", 'Summary Schedule'!$C$4="ESA"), "", IF(A46&lt;='Summary Schedule'!$C$27,'Itemized Costs-HIDDEN'!L42,""))</f>
        <v/>
      </c>
      <c r="C46" s="250" t="str">
        <f ca="1">IF(OR('Summary Schedule'!$C$4="UESC", 'Summary Schedule'!$C$4="ESA"), "", IF(A46&lt;='Summary Schedule'!$C$27,'Amortization-HIDDEN'!K54,""))</f>
        <v/>
      </c>
      <c r="D46" s="250" t="str">
        <f ca="1">IF('Summary Schedule'!$G$42="",IF(OR('Summary Schedule'!$C$4="UESC",'Summary Schedule'!$C$4="ESA"),"",IF(A46&lt;='Summary Schedule'!$C$27, INDIRECT("'Sch3-Perf Period Cash Flow'!"&amp;LEFT(ADDRESS(1,ROW(A41),4,1),(ROW(A41)&gt;26)+1)&amp;$A$9+22&amp;""),"")),"Term&gt;25Yrs")</f>
        <v/>
      </c>
      <c r="E46" s="250" t="str">
        <f ca="1">IFERROR(IF(A46&lt;='Summary Schedule'!$C$27,C46-D46,""),"")</f>
        <v/>
      </c>
      <c r="F46" s="85"/>
    </row>
    <row r="47" spans="1:6" ht="18" hidden="1" customHeight="1" thickBot="1">
      <c r="A47" s="108">
        <v>39</v>
      </c>
      <c r="B47" s="250" t="str">
        <f ca="1">IF(OR('Summary Schedule'!$C$4="UESC", 'Summary Schedule'!$C$4="ESA"), "", IF(A47&lt;='Summary Schedule'!$C$27,'Itemized Costs-HIDDEN'!L43,""))</f>
        <v/>
      </c>
      <c r="C47" s="250" t="str">
        <f ca="1">IF(OR('Summary Schedule'!$C$4="UESC", 'Summary Schedule'!$C$4="ESA"), "", IF(A47&lt;='Summary Schedule'!$C$27,'Amortization-HIDDEN'!K55,""))</f>
        <v/>
      </c>
      <c r="D47" s="250" t="str">
        <f ca="1">IF('Summary Schedule'!$G$42="",IF(OR('Summary Schedule'!$C$4="UESC",'Summary Schedule'!$C$4="ESA"),"",IF(A47&lt;='Summary Schedule'!$C$27, INDIRECT("'Sch3-Perf Period Cash Flow'!"&amp;LEFT(ADDRESS(1,ROW(A42),4,1),(ROW(A42)&gt;26)+1)&amp;$A$9+22&amp;""),"")),"Term&gt;25Yrs")</f>
        <v/>
      </c>
      <c r="E47" s="250" t="str">
        <f ca="1">IFERROR(IF(A47&lt;='Summary Schedule'!$C$27,C47-D47,""),"")</f>
        <v/>
      </c>
      <c r="F47" s="85"/>
    </row>
    <row r="48" spans="1:6" ht="18" hidden="1" customHeight="1" thickBot="1">
      <c r="A48" s="108">
        <v>40</v>
      </c>
      <c r="B48" s="250" t="str">
        <f ca="1">IF(OR('Summary Schedule'!$C$4="UESC", 'Summary Schedule'!$C$4="ESA"), "", IF(A48&lt;='Summary Schedule'!$C$27,'Itemized Costs-HIDDEN'!L44,""))</f>
        <v/>
      </c>
      <c r="C48" s="250" t="str">
        <f ca="1">IF(OR('Summary Schedule'!$C$4="UESC", 'Summary Schedule'!$C$4="ESA"), "", IF(A48&lt;='Summary Schedule'!$C$27,'Amortization-HIDDEN'!K56,""))</f>
        <v/>
      </c>
      <c r="D48" s="250" t="str">
        <f ca="1">IF('Summary Schedule'!$G$42="",IF(OR('Summary Schedule'!$C$4="UESC",'Summary Schedule'!$C$4="ESA"),"",IF(A48&lt;='Summary Schedule'!$C$27, INDIRECT("'Sch3-Perf Period Cash Flow'!"&amp;LEFT(ADDRESS(1,ROW(A43),4,1),(ROW(A43)&gt;26)+1)&amp;$A$9+22&amp;""),"")),"Term&gt;25Yrs")</f>
        <v/>
      </c>
      <c r="E48" s="250" t="str">
        <f ca="1">IFERROR(IF(A48&lt;='Summary Schedule'!$C$27,C48-D48,""),"")</f>
        <v/>
      </c>
      <c r="F48" s="85"/>
    </row>
    <row r="49" spans="1:7" ht="32.25" customHeight="1" thickBot="1">
      <c r="A49" s="109" t="s">
        <v>65</v>
      </c>
      <c r="B49" s="251">
        <f ca="1">SUM(B9:B33)</f>
        <v>34753608.5816558</v>
      </c>
      <c r="C49" s="251">
        <f ca="1">SUM(C9:C33)</f>
        <v>31973321</v>
      </c>
      <c r="D49" s="251">
        <f ca="1">SUM(D9:D33)</f>
        <v>31125789</v>
      </c>
      <c r="E49" s="251">
        <f ca="1">SUM(E9:E33)</f>
        <v>847532</v>
      </c>
      <c r="F49" s="48"/>
      <c r="G49" s="48"/>
    </row>
    <row r="50" spans="1:7" ht="20.25" customHeight="1">
      <c r="A50" s="572" t="s">
        <v>30</v>
      </c>
      <c r="B50" s="573"/>
      <c r="C50" s="578" t="s">
        <v>6</v>
      </c>
      <c r="D50" s="580" t="s">
        <v>152</v>
      </c>
      <c r="E50" s="186"/>
      <c r="F50" s="48"/>
      <c r="G50" s="48"/>
    </row>
    <row r="51" spans="1:7" ht="17" thickBot="1">
      <c r="A51" s="574"/>
      <c r="B51" s="575"/>
      <c r="C51" s="579"/>
      <c r="D51" s="581"/>
      <c r="E51" s="184"/>
      <c r="F51" s="48"/>
      <c r="G51" s="48"/>
    </row>
    <row r="52" spans="1:7" ht="18" customHeight="1" thickBot="1">
      <c r="A52" s="576"/>
      <c r="B52" s="577"/>
      <c r="C52" s="202">
        <f ca="1">C49+C6</f>
        <v>37867580</v>
      </c>
      <c r="D52" s="203">
        <f ca="1">D49+D6</f>
        <v>37020048</v>
      </c>
      <c r="E52" s="184"/>
      <c r="F52" s="48"/>
      <c r="G52" s="48"/>
    </row>
    <row r="53" spans="1:7" ht="17" thickBot="1">
      <c r="A53" s="49"/>
      <c r="B53" s="50"/>
      <c r="C53" s="51"/>
      <c r="D53" s="51"/>
      <c r="E53" s="294"/>
      <c r="F53" s="48"/>
      <c r="G53" s="48"/>
    </row>
    <row r="54" spans="1:7">
      <c r="A54" s="584" t="s">
        <v>15</v>
      </c>
      <c r="B54" s="585"/>
      <c r="C54" s="585"/>
      <c r="D54" s="585"/>
      <c r="E54" s="541"/>
    </row>
    <row r="55" spans="1:7" ht="55" customHeight="1">
      <c r="A55" s="587" t="s">
        <v>367</v>
      </c>
      <c r="B55" s="588"/>
      <c r="C55" s="588"/>
      <c r="D55" s="588"/>
      <c r="E55" s="589"/>
    </row>
    <row r="56" spans="1:7" ht="17.25" customHeight="1">
      <c r="A56" s="582" t="s">
        <v>318</v>
      </c>
      <c r="B56" s="590"/>
      <c r="C56" s="590"/>
      <c r="D56" s="590"/>
      <c r="E56" s="591"/>
    </row>
    <row r="57" spans="1:7" ht="17.25" customHeight="1">
      <c r="A57" s="582" t="s">
        <v>206</v>
      </c>
      <c r="B57" s="570"/>
      <c r="C57" s="570"/>
      <c r="D57" s="570"/>
      <c r="E57" s="583"/>
    </row>
    <row r="58" spans="1:7" ht="17.25" customHeight="1">
      <c r="A58" s="582" t="s">
        <v>279</v>
      </c>
      <c r="B58" s="570"/>
      <c r="C58" s="570"/>
      <c r="D58" s="570"/>
      <c r="E58" s="583"/>
    </row>
    <row r="59" spans="1:7" ht="16" customHeight="1">
      <c r="A59" s="582" t="s">
        <v>280</v>
      </c>
      <c r="B59" s="570"/>
      <c r="C59" s="570"/>
      <c r="D59" s="570"/>
      <c r="E59" s="583"/>
    </row>
    <row r="60" spans="1:7" ht="17" thickBot="1">
      <c r="A60" s="582" t="s">
        <v>281</v>
      </c>
      <c r="B60" s="570"/>
      <c r="C60" s="570"/>
      <c r="D60" s="570"/>
      <c r="E60" s="583"/>
    </row>
    <row r="61" spans="1:7">
      <c r="A61" s="584" t="s">
        <v>173</v>
      </c>
      <c r="B61" s="585"/>
      <c r="C61" s="585"/>
      <c r="D61" s="585"/>
      <c r="E61" s="541"/>
    </row>
    <row r="62" spans="1:7" ht="71.25" customHeight="1" thickBot="1">
      <c r="A62" s="548"/>
      <c r="B62" s="549"/>
      <c r="C62" s="549"/>
      <c r="D62" s="549"/>
      <c r="E62" s="586"/>
    </row>
    <row r="63" spans="1:7">
      <c r="A63" s="4" t="str">
        <f>'Annual Escalation Rates'!A52</f>
        <v>4.1.5.c</v>
      </c>
    </row>
    <row r="64" spans="1:7">
      <c r="A64" s="41" t="str">
        <f>'Summary Schedule'!A54</f>
        <v>04232024</v>
      </c>
    </row>
  </sheetData>
  <mergeCells count="16">
    <mergeCell ref="A59:E59"/>
    <mergeCell ref="A60:E60"/>
    <mergeCell ref="A61:E61"/>
    <mergeCell ref="A62:E62"/>
    <mergeCell ref="A54:E54"/>
    <mergeCell ref="A55:E55"/>
    <mergeCell ref="A56:E56"/>
    <mergeCell ref="A57:E57"/>
    <mergeCell ref="A58:E58"/>
    <mergeCell ref="A1:E1"/>
    <mergeCell ref="A2:E2"/>
    <mergeCell ref="A4:A6"/>
    <mergeCell ref="A7:A8"/>
    <mergeCell ref="A50:B52"/>
    <mergeCell ref="C50:C51"/>
    <mergeCell ref="D50:D51"/>
  </mergeCells>
  <dataValidations count="1">
    <dataValidation type="whole" allowBlank="1" showInputMessage="1" showErrorMessage="1" error="Please enter a valid value " sqref="E51:E52 B6:E6" xr:uid="{00000000-0002-0000-0300-000000000000}">
      <formula1>0</formula1>
      <formula2>1000000000</formula2>
    </dataValidation>
  </dataValidations>
  <pageMargins left="0.75" right="0.75" top="1" bottom="1" header="0.5" footer="0.5"/>
  <pageSetup scale="55"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 id="{14188C61-1CFC-4A40-94DA-CF4689D78DCC}">
            <xm:f>'Summary Schedule'!$C$4="UESC"</xm:f>
            <x14:dxf>
              <font>
                <color theme="0" tint="-0.24994659260841701"/>
              </font>
              <fill>
                <patternFill>
                  <fgColor theme="0" tint="-0.24994659260841701"/>
                  <bgColor theme="0" tint="-0.24994659260841701"/>
                </patternFill>
              </fill>
              <border>
                <left/>
                <right/>
                <top/>
                <bottom/>
              </border>
            </x14:dxf>
          </x14:cfRule>
          <x14:cfRule type="expression" priority="2" id="{5FED5B71-395B-E24F-9EFA-F2B49AAA2CAE}">
            <xm:f>'Summary Schedule'!$C$4="ESA"</xm:f>
            <x14:dxf>
              <font>
                <color theme="0" tint="-0.24994659260841701"/>
              </font>
              <fill>
                <patternFill patternType="solid">
                  <fgColor theme="0" tint="-0.24994659260841701"/>
                  <bgColor theme="0" tint="-0.24994659260841701"/>
                </patternFill>
              </fill>
              <border>
                <left/>
                <right/>
                <top/>
                <bottom/>
                <vertical/>
                <horizontal/>
              </border>
            </x14:dxf>
          </x14:cfRule>
          <xm:sqref>A1:E64</xm:sqref>
        </x14:conditionalFormatting>
      </x14:conditionalFormatting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660066"/>
    <pageSetUpPr fitToPage="1"/>
  </sheetPr>
  <dimension ref="A1:G62"/>
  <sheetViews>
    <sheetView topLeftCell="A12" zoomScale="90" zoomScaleNormal="90" zoomScalePageLayoutView="150" workbookViewId="0">
      <selection activeCell="F54" sqref="F54"/>
    </sheetView>
  </sheetViews>
  <sheetFormatPr baseColWidth="10" defaultColWidth="11" defaultRowHeight="16"/>
  <cols>
    <col min="1" max="1" width="23" style="4" customWidth="1"/>
    <col min="2" max="2" width="37.83203125" style="4" customWidth="1"/>
    <col min="3" max="3" width="23.5" style="4" customWidth="1"/>
    <col min="4" max="4" width="28.5" style="4" customWidth="1"/>
    <col min="5" max="5" width="14.5" style="4" bestFit="1" customWidth="1"/>
    <col min="6" max="6" width="12.83203125" style="4" bestFit="1" customWidth="1"/>
    <col min="7" max="7" width="14.5" style="4" bestFit="1" customWidth="1"/>
    <col min="8" max="16384" width="11" style="4"/>
  </cols>
  <sheetData>
    <row r="1" spans="1:7" ht="21">
      <c r="A1" s="556" t="s">
        <v>337</v>
      </c>
      <c r="B1" s="556"/>
      <c r="C1" s="556"/>
      <c r="D1" s="570"/>
    </row>
    <row r="2" spans="1:7" ht="22" thickBot="1">
      <c r="A2" s="559" t="s">
        <v>153</v>
      </c>
      <c r="B2" s="559"/>
      <c r="C2" s="559"/>
      <c r="D2" s="531"/>
    </row>
    <row r="3" spans="1:7" ht="19.5" customHeight="1" thickBot="1">
      <c r="A3" s="99"/>
      <c r="B3" s="100"/>
      <c r="C3" s="107"/>
      <c r="D3" s="101"/>
    </row>
    <row r="4" spans="1:7" ht="15" customHeight="1" thickBot="1">
      <c r="A4" s="571" t="s">
        <v>155</v>
      </c>
      <c r="B4" s="295" t="s">
        <v>0</v>
      </c>
      <c r="C4" s="295" t="s">
        <v>2</v>
      </c>
      <c r="D4" s="184"/>
    </row>
    <row r="5" spans="1:7" ht="24" customHeight="1" thickBot="1">
      <c r="A5" s="571"/>
      <c r="B5" s="158" t="s">
        <v>200</v>
      </c>
      <c r="C5" s="158" t="s">
        <v>202</v>
      </c>
      <c r="D5" s="184"/>
    </row>
    <row r="6" spans="1:7" ht="17" thickBot="1">
      <c r="A6" s="571"/>
      <c r="B6" s="156"/>
      <c r="C6" s="156"/>
      <c r="D6" s="185"/>
    </row>
    <row r="7" spans="1:7" ht="17" thickBot="1">
      <c r="A7" s="571" t="s">
        <v>243</v>
      </c>
      <c r="B7" s="295" t="s">
        <v>3</v>
      </c>
      <c r="C7" s="295" t="s">
        <v>5</v>
      </c>
      <c r="D7" s="295" t="s">
        <v>154</v>
      </c>
    </row>
    <row r="8" spans="1:7" ht="30.75" customHeight="1" thickBot="1">
      <c r="A8" s="571"/>
      <c r="B8" s="295" t="s">
        <v>44</v>
      </c>
      <c r="C8" s="295" t="s">
        <v>151</v>
      </c>
      <c r="D8" s="295" t="s">
        <v>146</v>
      </c>
    </row>
    <row r="9" spans="1:7" ht="18" customHeight="1" thickBot="1">
      <c r="A9" s="108">
        <v>1</v>
      </c>
      <c r="B9" s="250" t="str">
        <f>IF('Summary Schedule'!$C$4="UESC", IF(A9&lt;='Summary Schedule'!$C$27,'Itemized Costs-HIDDEN'!L5,""),"")</f>
        <v/>
      </c>
      <c r="C9" s="250" t="str">
        <f ca="1">IF('Summary Schedule'!$G$42="",IF('Summary Schedule'!$C$4="UESC", IF(A9&lt;='Summary Schedule'!$C$27,INDIRECT("'Sch3-Perf Period Cash Flow'!"&amp;LEFT(ADDRESS(1,ROW(A4),4,1),(ROW(A4)&gt;26)+1)&amp;$A$9+22&amp;""),""),""),"Term&gt;25Yrs")</f>
        <v/>
      </c>
      <c r="D9" s="250" t="str">
        <f ca="1">IF('Summary Schedule'!$G$42="",IFERROR(IF(A9&lt;='Summary Schedule'!$C$27,B9-C9,""),""),"N/A")</f>
        <v/>
      </c>
      <c r="E9" s="17"/>
      <c r="G9" s="17"/>
    </row>
    <row r="10" spans="1:7" ht="18" customHeight="1" thickBot="1">
      <c r="A10" s="108">
        <v>2</v>
      </c>
      <c r="B10" s="250" t="str">
        <f>IF('Summary Schedule'!$C$4="UESC", IF(A10&lt;='Summary Schedule'!$C$27,'Itemized Costs-HIDDEN'!L6,""),"")</f>
        <v/>
      </c>
      <c r="C10" s="250" t="str">
        <f ca="1">IF('Summary Schedule'!$G$42="",IF('Summary Schedule'!$C$4="UESC", IF(A10&lt;='Summary Schedule'!$C$27,INDIRECT("'Sch3-Perf Period Cash Flow'!"&amp;LEFT(ADDRESS(1,ROW(A5),4,1),(ROW(A5)&gt;26)+1)&amp;$A$9+22&amp;""),""),""),"Term&gt;25Yrs")</f>
        <v/>
      </c>
      <c r="D10" s="250" t="str">
        <f ca="1">IF('Summary Schedule'!$G$42="",IFERROR(IF(A10&lt;='Summary Schedule'!$C$27,B10-C10,""),""),"N/A")</f>
        <v/>
      </c>
      <c r="E10" s="17"/>
      <c r="G10" s="17"/>
    </row>
    <row r="11" spans="1:7" ht="18" customHeight="1" thickBot="1">
      <c r="A11" s="108">
        <v>3</v>
      </c>
      <c r="B11" s="250" t="str">
        <f>IF('Summary Schedule'!$C$4="UESC", IF(A11&lt;='Summary Schedule'!$C$27,'Itemized Costs-HIDDEN'!L7,""),"")</f>
        <v/>
      </c>
      <c r="C11" s="250" t="str">
        <f ca="1">IF('Summary Schedule'!$G$42="",IF('Summary Schedule'!$C$4="UESC", IF(A11&lt;='Summary Schedule'!$C$27,INDIRECT("'Sch3-Perf Period Cash Flow'!"&amp;LEFT(ADDRESS(1,ROW(A6),4,1),(ROW(A6)&gt;26)+1)&amp;$A$9+22&amp;""),""),""),"Term&gt;25Yrs")</f>
        <v/>
      </c>
      <c r="D11" s="250" t="str">
        <f ca="1">IF('Summary Schedule'!$G$42="",IFERROR(IF(A11&lt;='Summary Schedule'!$C$27,B11-C11,""),""),"N/A")</f>
        <v/>
      </c>
      <c r="E11" s="17"/>
      <c r="G11" s="17"/>
    </row>
    <row r="12" spans="1:7" ht="18" customHeight="1" thickBot="1">
      <c r="A12" s="108">
        <v>4</v>
      </c>
      <c r="B12" s="250" t="str">
        <f>IF('Summary Schedule'!$C$4="UESC", IF(A12&lt;='Summary Schedule'!$C$27,'Itemized Costs-HIDDEN'!L8,""),"")</f>
        <v/>
      </c>
      <c r="C12" s="250" t="str">
        <f ca="1">IF('Summary Schedule'!$G$42="",IF('Summary Schedule'!$C$4="UESC", IF(A12&lt;='Summary Schedule'!$C$27,INDIRECT("'Sch3-Perf Period Cash Flow'!"&amp;LEFT(ADDRESS(1,ROW(A7),4,1),(ROW(A7)&gt;26)+1)&amp;$A$9+22&amp;""),""),""),"Term&gt;25Yrs")</f>
        <v/>
      </c>
      <c r="D12" s="250" t="str">
        <f ca="1">IF('Summary Schedule'!$G$42="",IFERROR(IF(A12&lt;='Summary Schedule'!$C$27,B12-C12,""),""),"N/A")</f>
        <v/>
      </c>
      <c r="E12" s="17"/>
      <c r="G12" s="17"/>
    </row>
    <row r="13" spans="1:7" ht="18" customHeight="1" thickBot="1">
      <c r="A13" s="108">
        <v>5</v>
      </c>
      <c r="B13" s="250" t="str">
        <f>IF('Summary Schedule'!$C$4="UESC", IF(A13&lt;='Summary Schedule'!$C$27,'Itemized Costs-HIDDEN'!L9,""),"")</f>
        <v/>
      </c>
      <c r="C13" s="250" t="str">
        <f ca="1">IF('Summary Schedule'!$G$42="",IF('Summary Schedule'!$C$4="UESC", IF(A13&lt;='Summary Schedule'!$C$27,INDIRECT("'Sch3-Perf Period Cash Flow'!"&amp;LEFT(ADDRESS(1,ROW(A8),4,1),(ROW(A8)&gt;26)+1)&amp;$A$9+22&amp;""),""),""),"Term&gt;25Yrs")</f>
        <v/>
      </c>
      <c r="D13" s="250" t="str">
        <f ca="1">IF('Summary Schedule'!$G$42="",IFERROR(IF(A13&lt;='Summary Schedule'!$C$27,B13-C13,""),""),"N/A")</f>
        <v/>
      </c>
      <c r="E13" s="17"/>
      <c r="G13" s="17"/>
    </row>
    <row r="14" spans="1:7" ht="18" customHeight="1" thickBot="1">
      <c r="A14" s="108">
        <v>6</v>
      </c>
      <c r="B14" s="250" t="str">
        <f>IF('Summary Schedule'!$C$4="UESC", IF(A14&lt;='Summary Schedule'!$C$27,'Itemized Costs-HIDDEN'!L10,""),"")</f>
        <v/>
      </c>
      <c r="C14" s="250" t="str">
        <f ca="1">IF('Summary Schedule'!$G$42="",IF('Summary Schedule'!$C$4="UESC", IF(A14&lt;='Summary Schedule'!$C$27,INDIRECT("'Sch3-Perf Period Cash Flow'!"&amp;LEFT(ADDRESS(1,ROW(A9),4,1),(ROW(A9)&gt;26)+1)&amp;$A$9+22&amp;""),""),""),"Term&gt;25Yrs")</f>
        <v/>
      </c>
      <c r="D14" s="250" t="str">
        <f ca="1">IF('Summary Schedule'!$G$42="",IFERROR(IF(A14&lt;='Summary Schedule'!$C$27,B14-C14,""),""),"N/A")</f>
        <v/>
      </c>
      <c r="E14" s="17"/>
      <c r="G14" s="17"/>
    </row>
    <row r="15" spans="1:7" ht="18" customHeight="1" thickBot="1">
      <c r="A15" s="108">
        <v>7</v>
      </c>
      <c r="B15" s="250" t="str">
        <f>IF('Summary Schedule'!$C$4="UESC", IF(A15&lt;='Summary Schedule'!$C$27,'Itemized Costs-HIDDEN'!L11,""),"")</f>
        <v/>
      </c>
      <c r="C15" s="250" t="str">
        <f ca="1">IF('Summary Schedule'!$G$42="",IF('Summary Schedule'!$C$4="UESC", IF(A15&lt;='Summary Schedule'!$C$27,INDIRECT("'Sch3-Perf Period Cash Flow'!"&amp;LEFT(ADDRESS(1,ROW(A10),4,1),(ROW(A10)&gt;26)+1)&amp;$A$9+22&amp;""),""),""),"Term&gt;25Yrs")</f>
        <v/>
      </c>
      <c r="D15" s="250" t="str">
        <f ca="1">IF('Summary Schedule'!$G$42="",IFERROR(IF(A15&lt;='Summary Schedule'!$C$27,B15-C15,""),""),"N/A")</f>
        <v/>
      </c>
      <c r="E15" s="17"/>
      <c r="G15" s="17"/>
    </row>
    <row r="16" spans="1:7" ht="18" customHeight="1" thickBot="1">
      <c r="A16" s="108">
        <v>8</v>
      </c>
      <c r="B16" s="250" t="str">
        <f>IF('Summary Schedule'!$C$4="UESC", IF(A16&lt;='Summary Schedule'!$C$27,'Itemized Costs-HIDDEN'!L12,""),"")</f>
        <v/>
      </c>
      <c r="C16" s="250" t="str">
        <f ca="1">IF('Summary Schedule'!$G$42="",IF('Summary Schedule'!$C$4="UESC", IF(A16&lt;='Summary Schedule'!$C$27,INDIRECT("'Sch3-Perf Period Cash Flow'!"&amp;LEFT(ADDRESS(1,ROW(A11),4,1),(ROW(A11)&gt;26)+1)&amp;$A$9+22&amp;""),""),""),"Term&gt;25Yrs")</f>
        <v/>
      </c>
      <c r="D16" s="250" t="str">
        <f ca="1">IF('Summary Schedule'!$G$42="",IFERROR(IF(A16&lt;='Summary Schedule'!$C$27,B16-C16,""),""),"N/A")</f>
        <v/>
      </c>
      <c r="E16" s="17"/>
      <c r="G16" s="17"/>
    </row>
    <row r="17" spans="1:7" ht="18" customHeight="1" thickBot="1">
      <c r="A17" s="108">
        <v>9</v>
      </c>
      <c r="B17" s="250" t="str">
        <f>IF('Summary Schedule'!$C$4="UESC", IF(A17&lt;='Summary Schedule'!$C$27,'Itemized Costs-HIDDEN'!L13,""),"")</f>
        <v/>
      </c>
      <c r="C17" s="250" t="str">
        <f ca="1">IF('Summary Schedule'!$G$42="",IF('Summary Schedule'!$C$4="UESC", IF(A17&lt;='Summary Schedule'!$C$27,INDIRECT("'Sch3-Perf Period Cash Flow'!"&amp;LEFT(ADDRESS(1,ROW(A12),4,1),(ROW(A12)&gt;26)+1)&amp;$A$9+22&amp;""),""),""),"Term&gt;25Yrs")</f>
        <v/>
      </c>
      <c r="D17" s="250" t="str">
        <f ca="1">IF('Summary Schedule'!$G$42="",IFERROR(IF(A17&lt;='Summary Schedule'!$C$27,B17-C17,""),""),"N/A")</f>
        <v/>
      </c>
      <c r="E17" s="17"/>
      <c r="G17" s="17"/>
    </row>
    <row r="18" spans="1:7" ht="18" customHeight="1" thickBot="1">
      <c r="A18" s="108">
        <v>10</v>
      </c>
      <c r="B18" s="250" t="str">
        <f>IF('Summary Schedule'!$C$4="UESC", IF(A18&lt;='Summary Schedule'!$C$27,'Itemized Costs-HIDDEN'!L14,""),"")</f>
        <v/>
      </c>
      <c r="C18" s="250" t="str">
        <f ca="1">IF('Summary Schedule'!$G$42="",IF('Summary Schedule'!$C$4="UESC", IF(A18&lt;='Summary Schedule'!$C$27,INDIRECT("'Sch3-Perf Period Cash Flow'!"&amp;LEFT(ADDRESS(1,ROW(A13),4,1),(ROW(A13)&gt;26)+1)&amp;$A$9+22&amp;""),""),""),"Term&gt;25Yrs")</f>
        <v/>
      </c>
      <c r="D18" s="250" t="str">
        <f ca="1">IF('Summary Schedule'!$G$42="",IFERROR(IF(A18&lt;='Summary Schedule'!$C$27,B18-C18,""),""),"N/A")</f>
        <v/>
      </c>
      <c r="E18" s="17"/>
      <c r="G18" s="17"/>
    </row>
    <row r="19" spans="1:7" ht="18" customHeight="1" thickBot="1">
      <c r="A19" s="108">
        <v>11</v>
      </c>
      <c r="B19" s="250" t="str">
        <f>IF('Summary Schedule'!$C$4="UESC", IF(A19&lt;='Summary Schedule'!$C$27,'Itemized Costs-HIDDEN'!L15,""),"")</f>
        <v/>
      </c>
      <c r="C19" s="250" t="str">
        <f ca="1">IF('Summary Schedule'!$G$42="",IF('Summary Schedule'!$C$4="UESC", IF(A19&lt;='Summary Schedule'!$C$27,INDIRECT("'Sch3-Perf Period Cash Flow'!"&amp;LEFT(ADDRESS(1,ROW(A14),4,1),(ROW(A14)&gt;26)+1)&amp;$A$9+22&amp;""),""),""),"Term&gt;25Yrs")</f>
        <v/>
      </c>
      <c r="D19" s="250" t="str">
        <f ca="1">IF('Summary Schedule'!$G$42="",IFERROR(IF(A19&lt;='Summary Schedule'!$C$27,B19-C19,""),""),"N/A")</f>
        <v/>
      </c>
      <c r="E19" s="17"/>
      <c r="G19" s="17"/>
    </row>
    <row r="20" spans="1:7" ht="18" customHeight="1" thickBot="1">
      <c r="A20" s="108">
        <v>12</v>
      </c>
      <c r="B20" s="250" t="str">
        <f>IF('Summary Schedule'!$C$4="UESC", IF(A20&lt;='Summary Schedule'!$C$27,'Itemized Costs-HIDDEN'!L16,""),"")</f>
        <v/>
      </c>
      <c r="C20" s="250" t="str">
        <f ca="1">IF('Summary Schedule'!$G$42="",IF('Summary Schedule'!$C$4="UESC", IF(A20&lt;='Summary Schedule'!$C$27,INDIRECT("'Sch3-Perf Period Cash Flow'!"&amp;LEFT(ADDRESS(1,ROW(A15),4,1),(ROW(A15)&gt;26)+1)&amp;$A$9+22&amp;""),""),""),"Term&gt;25Yrs")</f>
        <v/>
      </c>
      <c r="D20" s="250" t="str">
        <f ca="1">IF('Summary Schedule'!$G$42="",IFERROR(IF(A20&lt;='Summary Schedule'!$C$27,B20-C20,""),""),"N/A")</f>
        <v/>
      </c>
    </row>
    <row r="21" spans="1:7" ht="18" customHeight="1" thickBot="1">
      <c r="A21" s="108">
        <v>13</v>
      </c>
      <c r="B21" s="250" t="str">
        <f>IF('Summary Schedule'!$C$4="UESC", IF(A21&lt;='Summary Schedule'!$C$27,'Itemized Costs-HIDDEN'!L17,""),"")</f>
        <v/>
      </c>
      <c r="C21" s="250" t="str">
        <f ca="1">IF('Summary Schedule'!$G$42="",IF('Summary Schedule'!$C$4="UESC", IF(A21&lt;='Summary Schedule'!$C$27,INDIRECT("'Sch3-Perf Period Cash Flow'!"&amp;LEFT(ADDRESS(1,ROW(A16),4,1),(ROW(A16)&gt;26)+1)&amp;$A$9+22&amp;""),""),""),"Term&gt;25Yrs")</f>
        <v/>
      </c>
      <c r="D21" s="250" t="str">
        <f ca="1">IF('Summary Schedule'!$G$42="",IFERROR(IF(A21&lt;='Summary Schedule'!$C$27,B21-C21,""),""),"N/A")</f>
        <v/>
      </c>
    </row>
    <row r="22" spans="1:7" ht="18" customHeight="1" thickBot="1">
      <c r="A22" s="108">
        <v>14</v>
      </c>
      <c r="B22" s="250" t="str">
        <f>IF('Summary Schedule'!$C$4="UESC", IF(A22&lt;='Summary Schedule'!$C$27,'Itemized Costs-HIDDEN'!L18,""),"")</f>
        <v/>
      </c>
      <c r="C22" s="250" t="str">
        <f ca="1">IF('Summary Schedule'!$G$42="",IF('Summary Schedule'!$C$4="UESC", IF(A22&lt;='Summary Schedule'!$C$27,INDIRECT("'Sch3-Perf Period Cash Flow'!"&amp;LEFT(ADDRESS(1,ROW(A17),4,1),(ROW(A17)&gt;26)+1)&amp;$A$9+22&amp;""),""),""),"Term&gt;25Yrs")</f>
        <v/>
      </c>
      <c r="D22" s="250" t="str">
        <f ca="1">IF('Summary Schedule'!$G$42="",IFERROR(IF(A22&lt;='Summary Schedule'!$C$27,B22-C22,""),""),"N/A")</f>
        <v/>
      </c>
    </row>
    <row r="23" spans="1:7" ht="18" customHeight="1" thickBot="1">
      <c r="A23" s="108">
        <v>15</v>
      </c>
      <c r="B23" s="250" t="str">
        <f>IF('Summary Schedule'!$C$4="UESC", IF(A23&lt;='Summary Schedule'!$C$27,'Itemized Costs-HIDDEN'!L19,""),"")</f>
        <v/>
      </c>
      <c r="C23" s="250" t="str">
        <f ca="1">IF('Summary Schedule'!$G$42="",IF('Summary Schedule'!$C$4="UESC", IF(A23&lt;='Summary Schedule'!$C$27,INDIRECT("'Sch3-Perf Period Cash Flow'!"&amp;LEFT(ADDRESS(1,ROW(A18),4,1),(ROW(A18)&gt;26)+1)&amp;$A$9+22&amp;""),""),""),"Term&gt;25Yrs")</f>
        <v/>
      </c>
      <c r="D23" s="250" t="str">
        <f ca="1">IF('Summary Schedule'!$G$42="",IFERROR(IF(A23&lt;='Summary Schedule'!$C$27,B23-C23,""),""),"N/A")</f>
        <v/>
      </c>
    </row>
    <row r="24" spans="1:7" ht="18" customHeight="1" thickBot="1">
      <c r="A24" s="108">
        <v>16</v>
      </c>
      <c r="B24" s="250" t="str">
        <f>IF('Summary Schedule'!$C$4="UESC", IF(A24&lt;='Summary Schedule'!$C$27,'Itemized Costs-HIDDEN'!L20,""),"")</f>
        <v/>
      </c>
      <c r="C24" s="250" t="str">
        <f ca="1">IF('Summary Schedule'!$G$42="",IF('Summary Schedule'!$C$4="UESC", IF(A24&lt;='Summary Schedule'!$C$27,INDIRECT("'Sch3-Perf Period Cash Flow'!"&amp;LEFT(ADDRESS(1,ROW(A19),4,1),(ROW(A19)&gt;26)+1)&amp;$A$9+22&amp;""),""),""),"Term&gt;25Yrs")</f>
        <v/>
      </c>
      <c r="D24" s="250" t="str">
        <f ca="1">IF('Summary Schedule'!$G$42="",IFERROR(IF(A24&lt;='Summary Schedule'!$C$27,B24-C24,""),""),"N/A")</f>
        <v/>
      </c>
    </row>
    <row r="25" spans="1:7" ht="18" customHeight="1" thickBot="1">
      <c r="A25" s="108">
        <v>17</v>
      </c>
      <c r="B25" s="250" t="str">
        <f>IF('Summary Schedule'!$C$4="UESC", IF(A25&lt;='Summary Schedule'!$C$27,'Itemized Costs-HIDDEN'!L21,""),"")</f>
        <v/>
      </c>
      <c r="C25" s="250" t="str">
        <f ca="1">IF('Summary Schedule'!$G$42="",IF('Summary Schedule'!$C$4="UESC", IF(A25&lt;='Summary Schedule'!$C$27,INDIRECT("'Sch3-Perf Period Cash Flow'!"&amp;LEFT(ADDRESS(1,ROW(A20),4,1),(ROW(A20)&gt;26)+1)&amp;$A$9+22&amp;""),""),""),"Term&gt;25Yrs")</f>
        <v/>
      </c>
      <c r="D25" s="250" t="str">
        <f ca="1">IF('Summary Schedule'!$G$42="",IFERROR(IF(A25&lt;='Summary Schedule'!$C$27,B25-C25,""),""),"N/A")</f>
        <v/>
      </c>
    </row>
    <row r="26" spans="1:7" ht="18" customHeight="1" thickBot="1">
      <c r="A26" s="108">
        <v>18</v>
      </c>
      <c r="B26" s="250" t="str">
        <f>IF('Summary Schedule'!$C$4="UESC", IF(A26&lt;='Summary Schedule'!$C$27,'Itemized Costs-HIDDEN'!L22,""),"")</f>
        <v/>
      </c>
      <c r="C26" s="250" t="str">
        <f ca="1">IF('Summary Schedule'!$G$42="",IF('Summary Schedule'!$C$4="UESC", IF(A26&lt;='Summary Schedule'!$C$27,INDIRECT("'Sch3-Perf Period Cash Flow'!"&amp;LEFT(ADDRESS(1,ROW(A21),4,1),(ROW(A21)&gt;26)+1)&amp;$A$9+22&amp;""),""),""),"Term&gt;25Yrs")</f>
        <v/>
      </c>
      <c r="D26" s="250" t="str">
        <f ca="1">IF('Summary Schedule'!$G$42="",IFERROR(IF(A26&lt;='Summary Schedule'!$C$27,B26-C26,""),""),"N/A")</f>
        <v/>
      </c>
    </row>
    <row r="27" spans="1:7" ht="18" customHeight="1" thickBot="1">
      <c r="A27" s="108">
        <v>19</v>
      </c>
      <c r="B27" s="250" t="str">
        <f>IF('Summary Schedule'!$C$4="UESC", IF(A27&lt;='Summary Schedule'!$C$27,'Itemized Costs-HIDDEN'!L23,""),"")</f>
        <v/>
      </c>
      <c r="C27" s="250" t="str">
        <f ca="1">IF('Summary Schedule'!$G$42="",IF('Summary Schedule'!$C$4="UESC", IF(A27&lt;='Summary Schedule'!$C$27,INDIRECT("'Sch3-Perf Period Cash Flow'!"&amp;LEFT(ADDRESS(1,ROW(A22),4,1),(ROW(A22)&gt;26)+1)&amp;$A$9+22&amp;""),""),""),"Term&gt;25Yrs")</f>
        <v/>
      </c>
      <c r="D27" s="250" t="str">
        <f ca="1">IF('Summary Schedule'!$G$42="",IFERROR(IF(A27&lt;='Summary Schedule'!$C$27,B27-C27,""),""),"N/A")</f>
        <v/>
      </c>
    </row>
    <row r="28" spans="1:7" ht="18" customHeight="1" thickBot="1">
      <c r="A28" s="108">
        <v>20</v>
      </c>
      <c r="B28" s="250" t="str">
        <f>IF('Summary Schedule'!$C$4="UESC", IF(A28&lt;='Summary Schedule'!$C$27,'Itemized Costs-HIDDEN'!L24,""),"")</f>
        <v/>
      </c>
      <c r="C28" s="250" t="str">
        <f ca="1">IF('Summary Schedule'!$G$42="",IF('Summary Schedule'!$C$4="UESC", IF(A28&lt;='Summary Schedule'!$C$27,INDIRECT("'Sch3-Perf Period Cash Flow'!"&amp;LEFT(ADDRESS(1,ROW(A23),4,1),(ROW(A23)&gt;26)+1)&amp;$A$9+22&amp;""),""),""),"Term&gt;25Yrs")</f>
        <v/>
      </c>
      <c r="D28" s="250" t="str">
        <f ca="1">IF('Summary Schedule'!$G$42="",IFERROR(IF(A28&lt;='Summary Schedule'!$C$27,B28-C28,""),""),"N/A")</f>
        <v/>
      </c>
    </row>
    <row r="29" spans="1:7" ht="18" customHeight="1" thickBot="1">
      <c r="A29" s="108">
        <v>21</v>
      </c>
      <c r="B29" s="250" t="str">
        <f>IF('Summary Schedule'!$C$4="UESC", IF(A29&lt;='Summary Schedule'!$C$27,'Itemized Costs-HIDDEN'!L25,""),"")</f>
        <v/>
      </c>
      <c r="C29" s="250" t="str">
        <f ca="1">IF('Summary Schedule'!$G$42="",IF('Summary Schedule'!$C$4="UESC", IF(A29&lt;='Summary Schedule'!$C$27,INDIRECT("'Sch3-Perf Period Cash Flow'!"&amp;LEFT(ADDRESS(1,ROW(A24),4,1),(ROW(A24)&gt;26)+1)&amp;$A$9+22&amp;""),""),""),"Term&gt;25Yrs")</f>
        <v/>
      </c>
      <c r="D29" s="250" t="str">
        <f ca="1">IF('Summary Schedule'!$G$42="",IFERROR(IF(A29&lt;='Summary Schedule'!$C$27,B29-C29,""),""),"N/A")</f>
        <v/>
      </c>
    </row>
    <row r="30" spans="1:7" ht="18" customHeight="1" thickBot="1">
      <c r="A30" s="108">
        <v>22</v>
      </c>
      <c r="B30" s="250" t="str">
        <f>IF('Summary Schedule'!$C$4="UESC", IF(A30&lt;='Summary Schedule'!$C$27,'Itemized Costs-HIDDEN'!L26,""),"")</f>
        <v/>
      </c>
      <c r="C30" s="250" t="str">
        <f ca="1">IF('Summary Schedule'!$G$42="",IF('Summary Schedule'!$C$4="UESC", IF(A30&lt;='Summary Schedule'!$C$27,INDIRECT("'Sch3-Perf Period Cash Flow'!"&amp;LEFT(ADDRESS(1,ROW(A25),4,1),(ROW(A25)&gt;26)+1)&amp;$A$9+22&amp;""),""),""),"Term&gt;25Yrs")</f>
        <v/>
      </c>
      <c r="D30" s="250" t="str">
        <f ca="1">IF('Summary Schedule'!$G$42="",IFERROR(IF(A30&lt;='Summary Schedule'!$C$27,B30-C30,""),""),"N/A")</f>
        <v/>
      </c>
    </row>
    <row r="31" spans="1:7" ht="18" customHeight="1" thickBot="1">
      <c r="A31" s="108">
        <v>23</v>
      </c>
      <c r="B31" s="250" t="str">
        <f>IF('Summary Schedule'!$C$4="UESC", IF(A31&lt;='Summary Schedule'!$C$27,'Itemized Costs-HIDDEN'!L27,""),"")</f>
        <v/>
      </c>
      <c r="C31" s="250" t="str">
        <f ca="1">IF('Summary Schedule'!$G$42="",IF('Summary Schedule'!$C$4="UESC", IF(A31&lt;='Summary Schedule'!$C$27,INDIRECT("'Sch3-Perf Period Cash Flow'!"&amp;LEFT(ADDRESS(1,ROW(A26),4,1),(ROW(A26)&gt;26)+1)&amp;$A$9+22&amp;""),""),""),"Term&gt;25Yrs")</f>
        <v/>
      </c>
      <c r="D31" s="250" t="str">
        <f ca="1">IF('Summary Schedule'!$G$42="",IFERROR(IF(A31&lt;='Summary Schedule'!$C$27,B31-C31,""),""),"N/A")</f>
        <v/>
      </c>
    </row>
    <row r="32" spans="1:7" ht="18" customHeight="1" thickBot="1">
      <c r="A32" s="108">
        <v>24</v>
      </c>
      <c r="B32" s="250" t="str">
        <f>IF('Summary Schedule'!$C$4="UESC", IF(A32&lt;='Summary Schedule'!$C$27,'Itemized Costs-HIDDEN'!L28,""),"")</f>
        <v/>
      </c>
      <c r="C32" s="250" t="str">
        <f ca="1">IF('Summary Schedule'!$G$42="",IF('Summary Schedule'!$C$4="UESC", IF(A32&lt;='Summary Schedule'!$C$27,INDIRECT("'Sch3-Perf Period Cash Flow'!"&amp;LEFT(ADDRESS(1,ROW(A27),4,1),(ROW(A27)&gt;26)+1)&amp;$A$9+22&amp;""),""),""),"Term&gt;25Yrs")</f>
        <v/>
      </c>
      <c r="D32" s="250" t="str">
        <f ca="1">IF('Summary Schedule'!$G$42="",IFERROR(IF(A32&lt;='Summary Schedule'!$C$27,B32-C32,""),""),"N/A")</f>
        <v/>
      </c>
    </row>
    <row r="33" spans="1:4" ht="18" customHeight="1" thickBot="1">
      <c r="A33" s="108">
        <v>25</v>
      </c>
      <c r="B33" s="250" t="str">
        <f>IF('Summary Schedule'!$C$4="UESC", IF(A33&lt;='Summary Schedule'!$C$27,'Itemized Costs-HIDDEN'!L29,""),"")</f>
        <v/>
      </c>
      <c r="C33" s="250" t="str">
        <f ca="1">IF('Summary Schedule'!$G$42="",IF('Summary Schedule'!$C$4="UESC", IF(A33&lt;='Summary Schedule'!$C$27,INDIRECT("'Sch3-Perf Period Cash Flow'!"&amp;LEFT(ADDRESS(1,ROW(A28),4,1),(ROW(A28)&gt;26)+1)&amp;$A$9+22&amp;""),""),""),"Term&gt;25Yrs")</f>
        <v/>
      </c>
      <c r="D33" s="250" t="str">
        <f ca="1">IF('Summary Schedule'!$G$42="",IFERROR(IF(A33&lt;='Summary Schedule'!$C$27,B33-C33,""),""),"N/A")</f>
        <v/>
      </c>
    </row>
    <row r="34" spans="1:4" ht="18" hidden="1" customHeight="1" thickBot="1">
      <c r="A34" s="108">
        <v>26</v>
      </c>
      <c r="B34" s="250" t="str">
        <f>IF('Summary Schedule'!$C$4="UESC", IF(A34&lt;='Summary Schedule'!$C$27,'Itemized Costs-HIDDEN'!L30,""),"")</f>
        <v/>
      </c>
      <c r="C34" s="250" t="str">
        <f ca="1">IF('Summary Schedule'!$G$42="",IF('Summary Schedule'!$C$4="UESC", IF(A34&lt;='Summary Schedule'!$C$27,INDIRECT("'Sch3-Perf Period Cash Flow'!"&amp;LEFT(ADDRESS(1,ROW(A29),4,1),(ROW(A29)&gt;26)+1)&amp;$A$9+22&amp;""),""),""),"Term&gt;25Yrs")</f>
        <v/>
      </c>
      <c r="D34" s="250" t="str">
        <f ca="1">IF('Summary Schedule'!$G$42="",IFERROR(IF(A34&lt;='Summary Schedule'!$C$27,B34-C34,""),""),"N/A")</f>
        <v/>
      </c>
    </row>
    <row r="35" spans="1:4" ht="18" hidden="1" customHeight="1" thickBot="1">
      <c r="A35" s="108">
        <v>27</v>
      </c>
      <c r="B35" s="250" t="str">
        <f>IF('Summary Schedule'!$C$4="UESC", IF(A35&lt;='Summary Schedule'!$C$27,'Itemized Costs-HIDDEN'!L31,""),"")</f>
        <v/>
      </c>
      <c r="C35" s="250" t="str">
        <f ca="1">IF('Summary Schedule'!$G$42="",IF('Summary Schedule'!$C$4="UESC", IF(A35&lt;='Summary Schedule'!$C$27,INDIRECT("'Sch3-Perf Period Cash Flow'!"&amp;LEFT(ADDRESS(1,ROW(A30),4,1),(ROW(A30)&gt;26)+1)&amp;$A$9+22&amp;""),""),""),"Term&gt;25Yrs")</f>
        <v/>
      </c>
      <c r="D35" s="250" t="str">
        <f ca="1">IF('Summary Schedule'!$G$42="",IFERROR(IF(A35&lt;='Summary Schedule'!$C$27,B35-C35,""),""),"N/A")</f>
        <v/>
      </c>
    </row>
    <row r="36" spans="1:4" ht="18" hidden="1" customHeight="1" thickBot="1">
      <c r="A36" s="108">
        <v>28</v>
      </c>
      <c r="B36" s="250" t="str">
        <f>IF('Summary Schedule'!$C$4="UESC", IF(A36&lt;='Summary Schedule'!$C$27,'Itemized Costs-HIDDEN'!L32,""),"")</f>
        <v/>
      </c>
      <c r="C36" s="250" t="str">
        <f ca="1">IF('Summary Schedule'!$G$42="",IF('Summary Schedule'!$C$4="UESC", IF(A36&lt;='Summary Schedule'!$C$27,INDIRECT("'Sch3-Perf Period Cash Flow'!"&amp;LEFT(ADDRESS(1,ROW(A31),4,1),(ROW(A31)&gt;26)+1)&amp;$A$9+22&amp;""),""),""),"Term&gt;25Yrs")</f>
        <v/>
      </c>
      <c r="D36" s="250" t="str">
        <f ca="1">IF('Summary Schedule'!$G$42="",IFERROR(IF(A36&lt;='Summary Schedule'!$C$27,B36-C36,""),""),"N/A")</f>
        <v/>
      </c>
    </row>
    <row r="37" spans="1:4" ht="18" hidden="1" customHeight="1" thickBot="1">
      <c r="A37" s="108">
        <v>29</v>
      </c>
      <c r="B37" s="250" t="str">
        <f>IF('Summary Schedule'!$C$4="UESC", IF(A37&lt;='Summary Schedule'!$C$27,'Itemized Costs-HIDDEN'!L33,""),"")</f>
        <v/>
      </c>
      <c r="C37" s="250" t="str">
        <f ca="1">IF('Summary Schedule'!$G$42="",IF('Summary Schedule'!$C$4="UESC", IF(A37&lt;='Summary Schedule'!$C$27,INDIRECT("'Sch3-Perf Period Cash Flow'!"&amp;LEFT(ADDRESS(1,ROW(A32),4,1),(ROW(A32)&gt;26)+1)&amp;$A$9+22&amp;""),""),""),"Term&gt;25Yrs")</f>
        <v/>
      </c>
      <c r="D37" s="250" t="str">
        <f ca="1">IF('Summary Schedule'!$G$42="",IFERROR(IF(A37&lt;='Summary Schedule'!$C$27,B37-C37,""),""),"N/A")</f>
        <v/>
      </c>
    </row>
    <row r="38" spans="1:4" ht="18" hidden="1" customHeight="1" thickBot="1">
      <c r="A38" s="108">
        <v>30</v>
      </c>
      <c r="B38" s="250" t="str">
        <f>IF('Summary Schedule'!$C$4="UESC", IF(A38&lt;='Summary Schedule'!$C$27,'Itemized Costs-HIDDEN'!L34,""),"")</f>
        <v/>
      </c>
      <c r="C38" s="250" t="str">
        <f ca="1">IF('Summary Schedule'!$G$42="",IF('Summary Schedule'!$C$4="UESC", IF(A38&lt;='Summary Schedule'!$C$27,INDIRECT("'Sch3-Perf Period Cash Flow'!"&amp;LEFT(ADDRESS(1,ROW(A33),4,1),(ROW(A33)&gt;26)+1)&amp;$A$9+22&amp;""),""),""),"Term&gt;25Yrs")</f>
        <v/>
      </c>
      <c r="D38" s="250" t="str">
        <f ca="1">IF('Summary Schedule'!$G$42="",IFERROR(IF(A38&lt;='Summary Schedule'!$C$27,B38-C38,""),""),"N/A")</f>
        <v/>
      </c>
    </row>
    <row r="39" spans="1:4" ht="18" hidden="1" customHeight="1" thickBot="1">
      <c r="A39" s="108">
        <v>31</v>
      </c>
      <c r="B39" s="250" t="str">
        <f>IF('Summary Schedule'!$C$4="UESC", IF(A39&lt;='Summary Schedule'!$C$27,'Itemized Costs-HIDDEN'!L35,""),"")</f>
        <v/>
      </c>
      <c r="C39" s="250" t="str">
        <f ca="1">IF('Summary Schedule'!$G$42="",IF('Summary Schedule'!$C$4="UESC", IF(A39&lt;='Summary Schedule'!$C$27,INDIRECT("'Sch3-Perf Period Cash Flow'!"&amp;LEFT(ADDRESS(1,ROW(A34),4,1),(ROW(A34)&gt;26)+1)&amp;$A$9+22&amp;""),""),""),"Term&gt;25Yrs")</f>
        <v/>
      </c>
      <c r="D39" s="250" t="str">
        <f ca="1">IF('Summary Schedule'!$G$42="",IFERROR(IF(A39&lt;='Summary Schedule'!$C$27,B39-C39,""),""),"N/A")</f>
        <v/>
      </c>
    </row>
    <row r="40" spans="1:4" ht="18" hidden="1" customHeight="1" thickBot="1">
      <c r="A40" s="108">
        <v>32</v>
      </c>
      <c r="B40" s="250" t="str">
        <f>IF('Summary Schedule'!$C$4="UESC", IF(A40&lt;='Summary Schedule'!$C$27,'Itemized Costs-HIDDEN'!L36,""),"")</f>
        <v/>
      </c>
      <c r="C40" s="250" t="str">
        <f ca="1">IF('Summary Schedule'!$G$42="",IF('Summary Schedule'!$C$4="UESC", IF(A40&lt;='Summary Schedule'!$C$27,INDIRECT("'Sch3-Perf Period Cash Flow'!"&amp;LEFT(ADDRESS(1,ROW(A35),4,1),(ROW(A35)&gt;26)+1)&amp;$A$9+22&amp;""),""),""),"Term&gt;25Yrs")</f>
        <v/>
      </c>
      <c r="D40" s="250" t="str">
        <f ca="1">IF('Summary Schedule'!$G$42="",IFERROR(IF(A40&lt;='Summary Schedule'!$C$27,B40-C40,""),""),"N/A")</f>
        <v/>
      </c>
    </row>
    <row r="41" spans="1:4" ht="18" hidden="1" customHeight="1" thickBot="1">
      <c r="A41" s="108">
        <v>33</v>
      </c>
      <c r="B41" s="250" t="str">
        <f>IF('Summary Schedule'!$C$4="UESC", IF(A41&lt;='Summary Schedule'!$C$27,'Itemized Costs-HIDDEN'!L37,""),"")</f>
        <v/>
      </c>
      <c r="C41" s="250" t="str">
        <f ca="1">IF('Summary Schedule'!$G$42="",IF('Summary Schedule'!$C$4="UESC", IF(A41&lt;='Summary Schedule'!$C$27,INDIRECT("'Sch3-Perf Period Cash Flow'!"&amp;LEFT(ADDRESS(1,ROW(A36),4,1),(ROW(A36)&gt;26)+1)&amp;$A$9+22&amp;""),""),""),"Term&gt;25Yrs")</f>
        <v/>
      </c>
      <c r="D41" s="250" t="str">
        <f ca="1">IF('Summary Schedule'!$G$42="",IFERROR(IF(A41&lt;='Summary Schedule'!$C$27,B41-C41,""),""),"N/A")</f>
        <v/>
      </c>
    </row>
    <row r="42" spans="1:4" ht="18" hidden="1" customHeight="1" thickBot="1">
      <c r="A42" s="108">
        <v>34</v>
      </c>
      <c r="B42" s="250" t="str">
        <f>IF('Summary Schedule'!$C$4="UESC", IF(A42&lt;='Summary Schedule'!$C$27,'Itemized Costs-HIDDEN'!L38,""),"")</f>
        <v/>
      </c>
      <c r="C42" s="250" t="str">
        <f ca="1">IF('Summary Schedule'!$G$42="",IF('Summary Schedule'!$C$4="UESC", IF(A42&lt;='Summary Schedule'!$C$27,INDIRECT("'Sch3-Perf Period Cash Flow'!"&amp;LEFT(ADDRESS(1,ROW(A37),4,1),(ROW(A37)&gt;26)+1)&amp;$A$9+22&amp;""),""),""),"Term&gt;25Yrs")</f>
        <v/>
      </c>
      <c r="D42" s="250" t="str">
        <f ca="1">IF('Summary Schedule'!$G$42="",IFERROR(IF(A42&lt;='Summary Schedule'!$C$27,B42-C42,""),""),"N/A")</f>
        <v/>
      </c>
    </row>
    <row r="43" spans="1:4" ht="18" hidden="1" customHeight="1" thickBot="1">
      <c r="A43" s="108">
        <v>35</v>
      </c>
      <c r="B43" s="250" t="str">
        <f>IF('Summary Schedule'!$C$4="UESC", IF(A43&lt;='Summary Schedule'!$C$27,'Itemized Costs-HIDDEN'!L39,""),"")</f>
        <v/>
      </c>
      <c r="C43" s="250" t="str">
        <f ca="1">IF('Summary Schedule'!$G$42="",IF('Summary Schedule'!$C$4="UESC", IF(A43&lt;='Summary Schedule'!$C$27,INDIRECT("'Sch3-Perf Period Cash Flow'!"&amp;LEFT(ADDRESS(1,ROW(A38),4,1),(ROW(A38)&gt;26)+1)&amp;$A$9+22&amp;""),""),""),"Term&gt;25Yrs")</f>
        <v/>
      </c>
      <c r="D43" s="250" t="str">
        <f ca="1">IF('Summary Schedule'!$G$42="",IFERROR(IF(A43&lt;='Summary Schedule'!$C$27,B43-C43,""),""),"N/A")</f>
        <v/>
      </c>
    </row>
    <row r="44" spans="1:4" ht="18" hidden="1" customHeight="1" thickBot="1">
      <c r="A44" s="108">
        <v>36</v>
      </c>
      <c r="B44" s="250" t="str">
        <f>IF('Summary Schedule'!$C$4="UESC", IF(A44&lt;='Summary Schedule'!$C$27,'Itemized Costs-HIDDEN'!L40,""),"")</f>
        <v/>
      </c>
      <c r="C44" s="250" t="str">
        <f ca="1">IF('Summary Schedule'!$G$42="",IF('Summary Schedule'!$C$4="UESC", IF(A44&lt;='Summary Schedule'!$C$27,INDIRECT("'Sch3-Perf Period Cash Flow'!"&amp;LEFT(ADDRESS(1,ROW(A39),4,1),(ROW(A39)&gt;26)+1)&amp;$A$9+22&amp;""),""),""),"Term&gt;25Yrs")</f>
        <v/>
      </c>
      <c r="D44" s="250" t="str">
        <f ca="1">IF('Summary Schedule'!$G$42="",IFERROR(IF(A44&lt;='Summary Schedule'!$C$27,B44-C44,""),""),"N/A")</f>
        <v/>
      </c>
    </row>
    <row r="45" spans="1:4" ht="18" hidden="1" customHeight="1" thickBot="1">
      <c r="A45" s="108">
        <v>37</v>
      </c>
      <c r="B45" s="250" t="str">
        <f>IF('Summary Schedule'!$C$4="UESC", IF(A45&lt;='Summary Schedule'!$C$27,'Itemized Costs-HIDDEN'!L41,""),"")</f>
        <v/>
      </c>
      <c r="C45" s="250" t="str">
        <f ca="1">IF('Summary Schedule'!$G$42="",IF('Summary Schedule'!$C$4="UESC", IF(A45&lt;='Summary Schedule'!$C$27,INDIRECT("'Sch3-Perf Period Cash Flow'!"&amp;LEFT(ADDRESS(1,ROW(A40),4,1),(ROW(A40)&gt;26)+1)&amp;$A$9+22&amp;""),""),""),"Term&gt;25Yrs")</f>
        <v/>
      </c>
      <c r="D45" s="250" t="str">
        <f ca="1">IF('Summary Schedule'!$G$42="",IFERROR(IF(A45&lt;='Summary Schedule'!$C$27,B45-C45,""),""),"N/A")</f>
        <v/>
      </c>
    </row>
    <row r="46" spans="1:4" ht="18" hidden="1" customHeight="1" thickBot="1">
      <c r="A46" s="108">
        <v>38</v>
      </c>
      <c r="B46" s="250" t="str">
        <f>IF('Summary Schedule'!$C$4="UESC", IF(A46&lt;='Summary Schedule'!$C$27,'Itemized Costs-HIDDEN'!L42,""),"")</f>
        <v/>
      </c>
      <c r="C46" s="250" t="str">
        <f ca="1">IF('Summary Schedule'!$G$42="",IF('Summary Schedule'!$C$4="UESC", IF(A46&lt;='Summary Schedule'!$C$27,INDIRECT("'Sch3-Perf Period Cash Flow'!"&amp;LEFT(ADDRESS(1,ROW(A41),4,1),(ROW(A41)&gt;26)+1)&amp;$A$9+22&amp;""),""),""),"Term&gt;25Yrs")</f>
        <v/>
      </c>
      <c r="D46" s="250" t="str">
        <f ca="1">IF('Summary Schedule'!$G$42="",IFERROR(IF(A46&lt;='Summary Schedule'!$C$27,B46-C46,""),""),"N/A")</f>
        <v/>
      </c>
    </row>
    <row r="47" spans="1:4" ht="18" hidden="1" customHeight="1" thickBot="1">
      <c r="A47" s="108">
        <v>39</v>
      </c>
      <c r="B47" s="250" t="str">
        <f>IF('Summary Schedule'!$C$4="UESC", IF(A47&lt;='Summary Schedule'!$C$27,'Itemized Costs-HIDDEN'!L43,""),"")</f>
        <v/>
      </c>
      <c r="C47" s="250" t="str">
        <f ca="1">IF('Summary Schedule'!$G$42="",IF('Summary Schedule'!$C$4="UESC", IF(A47&lt;='Summary Schedule'!$C$27,INDIRECT("'Sch3-Perf Period Cash Flow'!"&amp;LEFT(ADDRESS(1,ROW(A42),4,1),(ROW(A42)&gt;26)+1)&amp;$A$9+22&amp;""),""),""),"Term&gt;25Yrs")</f>
        <v/>
      </c>
      <c r="D47" s="250" t="str">
        <f ca="1">IF('Summary Schedule'!$G$42="",IFERROR(IF(A47&lt;='Summary Schedule'!$C$27,B47-C47,""),""),"N/A")</f>
        <v/>
      </c>
    </row>
    <row r="48" spans="1:4" ht="18" hidden="1" customHeight="1" thickBot="1">
      <c r="A48" s="108">
        <v>40</v>
      </c>
      <c r="B48" s="250" t="str">
        <f>IF('Summary Schedule'!$C$4="UESC", IF(A48&lt;='Summary Schedule'!$C$27,'Itemized Costs-HIDDEN'!L44,""),"")</f>
        <v/>
      </c>
      <c r="C48" s="250" t="str">
        <f ca="1">IF('Summary Schedule'!$G$42="",IF('Summary Schedule'!$C$4="UESC", IF(A48&lt;='Summary Schedule'!$C$27,INDIRECT("'Sch3-Perf Period Cash Flow'!"&amp;LEFT(ADDRESS(1,ROW(A43),4,1),(ROW(A43)&gt;26)+1)&amp;$A$9+22&amp;""),""),""),"Term&gt;25Yrs")</f>
        <v/>
      </c>
      <c r="D48" s="250" t="str">
        <f ca="1">IF('Summary Schedule'!$G$42="",IFERROR(IF(A48&lt;='Summary Schedule'!$C$27,B48-C48,""),""),"N/A")</f>
        <v/>
      </c>
    </row>
    <row r="49" spans="1:5" ht="32.25" customHeight="1" thickBot="1">
      <c r="A49" s="109" t="s">
        <v>65</v>
      </c>
      <c r="B49" s="251">
        <f>SUM(B9:B33)</f>
        <v>0</v>
      </c>
      <c r="C49" s="251">
        <f ca="1">SUM(C9:C33)</f>
        <v>0</v>
      </c>
      <c r="D49" s="251">
        <f ca="1">SUM(D9:D33)</f>
        <v>0</v>
      </c>
      <c r="E49" s="48"/>
    </row>
    <row r="50" spans="1:5" ht="20.25" customHeight="1">
      <c r="A50" s="572" t="s">
        <v>30</v>
      </c>
      <c r="B50" s="573"/>
      <c r="C50" s="580" t="s">
        <v>152</v>
      </c>
      <c r="D50" s="186"/>
      <c r="E50" s="48"/>
    </row>
    <row r="51" spans="1:5" ht="17" thickBot="1">
      <c r="A51" s="574"/>
      <c r="B51" s="575"/>
      <c r="C51" s="600"/>
      <c r="D51" s="184"/>
      <c r="E51" s="48"/>
    </row>
    <row r="52" spans="1:5" ht="18" customHeight="1" thickBot="1">
      <c r="A52" s="574"/>
      <c r="B52" s="575"/>
      <c r="C52" s="305">
        <f ca="1">C49+C6</f>
        <v>0</v>
      </c>
      <c r="D52" s="184"/>
      <c r="E52" s="48"/>
    </row>
    <row r="53" spans="1:5" ht="17" thickBot="1">
      <c r="A53" s="304"/>
      <c r="B53" s="5"/>
      <c r="C53" s="303"/>
      <c r="D53" s="294"/>
      <c r="E53" s="48"/>
    </row>
    <row r="54" spans="1:5">
      <c r="A54" s="601" t="s">
        <v>15</v>
      </c>
      <c r="B54" s="585"/>
      <c r="C54" s="585"/>
      <c r="D54" s="554"/>
    </row>
    <row r="55" spans="1:5" ht="53.25" customHeight="1">
      <c r="A55" s="587" t="s">
        <v>366</v>
      </c>
      <c r="B55" s="588"/>
      <c r="C55" s="588"/>
      <c r="D55" s="583"/>
    </row>
    <row r="56" spans="1:5" ht="16" customHeight="1">
      <c r="A56" s="592" t="s">
        <v>354</v>
      </c>
      <c r="B56" s="590"/>
      <c r="C56" s="590"/>
      <c r="D56" s="583"/>
    </row>
    <row r="57" spans="1:5" ht="16" customHeight="1">
      <c r="A57" s="592" t="s">
        <v>355</v>
      </c>
      <c r="B57" s="570"/>
      <c r="C57" s="570"/>
      <c r="D57" s="583"/>
    </row>
    <row r="58" spans="1:5" ht="17.25" customHeight="1" thickBot="1">
      <c r="A58" s="593" t="s">
        <v>356</v>
      </c>
      <c r="B58" s="531"/>
      <c r="C58" s="531"/>
      <c r="D58" s="594"/>
    </row>
    <row r="59" spans="1:5" ht="17" thickBot="1">
      <c r="A59" s="595" t="s">
        <v>173</v>
      </c>
      <c r="B59" s="596"/>
      <c r="C59" s="596"/>
      <c r="D59" s="597"/>
    </row>
    <row r="60" spans="1:5" ht="71.25" customHeight="1" thickBot="1">
      <c r="A60" s="598"/>
      <c r="B60" s="599"/>
      <c r="C60" s="599"/>
      <c r="D60" s="594"/>
    </row>
    <row r="61" spans="1:5">
      <c r="A61" s="4" t="str">
        <f>'Annual Escalation Rates'!A52</f>
        <v>4.1.5.c</v>
      </c>
    </row>
    <row r="62" spans="1:5">
      <c r="A62" s="41" t="str">
        <f>'Summary Schedule'!A54</f>
        <v>04232024</v>
      </c>
    </row>
  </sheetData>
  <mergeCells count="13">
    <mergeCell ref="A57:D57"/>
    <mergeCell ref="A58:D58"/>
    <mergeCell ref="A59:D59"/>
    <mergeCell ref="A60:D60"/>
    <mergeCell ref="A1:D1"/>
    <mergeCell ref="A4:A6"/>
    <mergeCell ref="A7:A8"/>
    <mergeCell ref="A50:B52"/>
    <mergeCell ref="C50:C51"/>
    <mergeCell ref="A2:D2"/>
    <mergeCell ref="A54:D54"/>
    <mergeCell ref="A55:D55"/>
    <mergeCell ref="A56:D56"/>
  </mergeCells>
  <dataValidations count="1">
    <dataValidation type="whole" allowBlank="1" showInputMessage="1" showErrorMessage="1" error="Please enter a valid value " sqref="B6:D6 D51:D52" xr:uid="{00000000-0002-0000-0400-000000000000}">
      <formula1>0</formula1>
      <formula2>1000000000</formula2>
    </dataValidation>
  </dataValidations>
  <pageMargins left="0.75" right="0.75" top="1" bottom="1" header="0.5" footer="0.5"/>
  <pageSetup scale="55"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 id="{D66BB452-D044-E14B-A769-9E06A8FB8647}">
            <xm:f>'Summary Schedule'!$C$4&lt;&gt;"UESC"</xm:f>
            <x14:dxf>
              <font>
                <color theme="0" tint="-0.24994659260841701"/>
              </font>
              <fill>
                <patternFill patternType="solid">
                  <fgColor theme="0" tint="-0.24994659260841701"/>
                  <bgColor theme="0" tint="-0.24994659260841701"/>
                </patternFill>
              </fill>
              <border>
                <left/>
                <right/>
                <top/>
                <bottom/>
                <vertical/>
                <horizontal/>
              </border>
            </x14:dxf>
          </x14:cfRule>
          <xm:sqref>A1:D62</xm:sqref>
        </x14:conditionalFormatting>
      </x14:conditionalFormattings>
    </ex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0000FF"/>
    <pageSetUpPr fitToPage="1"/>
  </sheetPr>
  <dimension ref="A1:J64"/>
  <sheetViews>
    <sheetView zoomScale="90" zoomScaleNormal="90" workbookViewId="0">
      <selection sqref="A1:F1"/>
    </sheetView>
  </sheetViews>
  <sheetFormatPr baseColWidth="10" defaultColWidth="11" defaultRowHeight="16"/>
  <cols>
    <col min="1" max="1" width="23" style="4" customWidth="1"/>
    <col min="2" max="4" width="27" style="4" customWidth="1"/>
    <col min="5" max="5" width="21.83203125" style="4" customWidth="1"/>
    <col min="6" max="6" width="22.83203125" style="4" customWidth="1"/>
    <col min="7" max="7" width="16.5" style="4" customWidth="1"/>
    <col min="8" max="8" width="14.5" style="4" bestFit="1" customWidth="1"/>
    <col min="9" max="9" width="12.83203125" style="4" bestFit="1" customWidth="1"/>
    <col min="10" max="10" width="14.5" style="4" bestFit="1" customWidth="1"/>
    <col min="11" max="16384" width="11" style="4"/>
  </cols>
  <sheetData>
    <row r="1" spans="1:10" ht="21">
      <c r="A1" s="556" t="s">
        <v>389</v>
      </c>
      <c r="B1" s="556"/>
      <c r="C1" s="556"/>
      <c r="D1" s="556"/>
      <c r="E1" s="556"/>
      <c r="F1" s="570"/>
    </row>
    <row r="2" spans="1:10" ht="22" thickBot="1">
      <c r="A2" s="559" t="s">
        <v>153</v>
      </c>
      <c r="B2" s="559"/>
      <c r="C2" s="559"/>
      <c r="D2" s="559"/>
      <c r="E2" s="559"/>
      <c r="F2" s="531"/>
    </row>
    <row r="3" spans="1:10" ht="19.5" customHeight="1" thickBot="1">
      <c r="A3" s="99"/>
      <c r="B3" s="100"/>
      <c r="C3" s="368"/>
      <c r="D3" s="368"/>
      <c r="E3" s="602"/>
      <c r="F3" s="603"/>
      <c r="G3" s="369"/>
    </row>
    <row r="4" spans="1:10" ht="15" customHeight="1" thickBot="1">
      <c r="A4" s="571" t="s">
        <v>155</v>
      </c>
      <c r="B4" s="295" t="s">
        <v>0</v>
      </c>
      <c r="C4" s="295" t="s">
        <v>1</v>
      </c>
      <c r="D4" s="370" t="s">
        <v>2</v>
      </c>
      <c r="E4" s="604"/>
      <c r="F4" s="605"/>
    </row>
    <row r="5" spans="1:10" ht="24" customHeight="1" thickBot="1">
      <c r="A5" s="571"/>
      <c r="B5" s="158" t="s">
        <v>200</v>
      </c>
      <c r="C5" s="158" t="s">
        <v>201</v>
      </c>
      <c r="D5" s="371" t="s">
        <v>202</v>
      </c>
      <c r="E5" s="604"/>
      <c r="F5" s="605"/>
    </row>
    <row r="6" spans="1:10" ht="17" thickBot="1">
      <c r="A6" s="571"/>
      <c r="B6" s="418"/>
      <c r="C6" s="372"/>
      <c r="D6" s="372"/>
      <c r="E6" s="606"/>
      <c r="F6" s="607"/>
    </row>
    <row r="7" spans="1:10" ht="17" thickBot="1">
      <c r="A7" s="571" t="s">
        <v>243</v>
      </c>
      <c r="B7" s="295" t="s">
        <v>3</v>
      </c>
      <c r="C7" s="295" t="s">
        <v>4</v>
      </c>
      <c r="D7" s="295" t="s">
        <v>402</v>
      </c>
      <c r="E7" s="295" t="s">
        <v>154</v>
      </c>
      <c r="F7" s="295" t="s">
        <v>390</v>
      </c>
      <c r="G7" s="47"/>
    </row>
    <row r="8" spans="1:10" ht="30.75" customHeight="1" thickBot="1">
      <c r="A8" s="571"/>
      <c r="B8" s="295" t="s">
        <v>44</v>
      </c>
      <c r="C8" s="295" t="s">
        <v>120</v>
      </c>
      <c r="D8" s="295" t="s">
        <v>391</v>
      </c>
      <c r="E8" s="295" t="s">
        <v>392</v>
      </c>
      <c r="F8" s="295" t="s">
        <v>393</v>
      </c>
    </row>
    <row r="9" spans="1:10" ht="18" customHeight="1" thickBot="1">
      <c r="A9" s="108">
        <v>1</v>
      </c>
      <c r="B9" s="250" t="str">
        <f>IF('Summary Schedule'!$C$4="ESA", IF(A9&lt;='Summary Schedule'!$C$27,'Itemized Costs-HIDDEN'!L5+E9,""), "")</f>
        <v/>
      </c>
      <c r="C9" s="250" t="str">
        <f>IF('Summary Schedule'!$C$4="ESA", IF(A9&lt;='Summary Schedule'!$C$27,'Amortization-HIDDEN'!K17+E9,""),"")</f>
        <v/>
      </c>
      <c r="D9" s="250" t="str">
        <f>IF('Summary Schedule'!$C$4="ESA",E9+F9,"")</f>
        <v/>
      </c>
      <c r="E9" s="250">
        <f>IF('Sch1esa-ESA Pymts'!D9="",0, 'Sch1esa-ESA Pymts'!D9)</f>
        <v>0</v>
      </c>
      <c r="F9" s="250" t="str">
        <f ca="1">IF('Summary Schedule'!$G$42="",IF('Summary Schedule'!$C$4="ESA", IF(A9&lt;='Summary Schedule'!$C$27, INDIRECT("'Sch3-Perf Period Cash Flow'!"&amp;LEFT(ADDRESS(1,ROW(A4),4,1),(ROW(A4)&gt;26)+1)&amp;$A$9+22&amp;""),0),""),"Term&gt;25Yrs")</f>
        <v/>
      </c>
      <c r="G9" s="373"/>
      <c r="H9" s="17"/>
      <c r="I9" s="17"/>
      <c r="J9" s="17"/>
    </row>
    <row r="10" spans="1:10" ht="18" customHeight="1" thickBot="1">
      <c r="A10" s="108">
        <v>2</v>
      </c>
      <c r="B10" s="250" t="str">
        <f>IF('Summary Schedule'!$C$4="ESA", IF(A10&lt;='Summary Schedule'!$C$27,'Itemized Costs-HIDDEN'!L6+E10,""), "")</f>
        <v/>
      </c>
      <c r="C10" s="250" t="str">
        <f>IF('Summary Schedule'!$C$4="ESA", IF(A10&lt;='Summary Schedule'!$C$27,'Amortization-HIDDEN'!K18+E10,""),"")</f>
        <v/>
      </c>
      <c r="D10" s="250" t="str">
        <f>IF('Summary Schedule'!$C$4="ESA",E10+F10,"")</f>
        <v/>
      </c>
      <c r="E10" s="250">
        <f>IF('Sch1esa-ESA Pymts'!D10="",0, 'Sch1esa-ESA Pymts'!D10)</f>
        <v>0</v>
      </c>
      <c r="F10" s="250" t="str">
        <f ca="1">IF('Summary Schedule'!$G$42="",IF('Summary Schedule'!$C$4="ESA", IF(A10&lt;='Summary Schedule'!$C$27, INDIRECT("'Sch3-Perf Period Cash Flow'!"&amp;LEFT(ADDRESS(1,ROW(A5),4,1),(ROW(A5)&gt;26)+1)&amp;$A$9+22&amp;""),0),""),"Term&gt;25Yrs")</f>
        <v/>
      </c>
      <c r="G10" s="373"/>
      <c r="H10" s="17"/>
      <c r="I10" s="17"/>
      <c r="J10" s="17"/>
    </row>
    <row r="11" spans="1:10" ht="18" customHeight="1" thickBot="1">
      <c r="A11" s="108">
        <v>3</v>
      </c>
      <c r="B11" s="250" t="str">
        <f>IF('Summary Schedule'!$C$4="ESA", IF(A11&lt;='Summary Schedule'!$C$27,'Itemized Costs-HIDDEN'!L7+E11,""), "")</f>
        <v/>
      </c>
      <c r="C11" s="250" t="str">
        <f>IF('Summary Schedule'!$C$4="ESA", IF(A11&lt;='Summary Schedule'!$C$27,'Amortization-HIDDEN'!K19+E11,""),"")</f>
        <v/>
      </c>
      <c r="D11" s="250" t="str">
        <f>IF('Summary Schedule'!$C$4="ESA",E11+F11,"")</f>
        <v/>
      </c>
      <c r="E11" s="250">
        <f>IF('Sch1esa-ESA Pymts'!D11="",0, 'Sch1esa-ESA Pymts'!D11)</f>
        <v>0</v>
      </c>
      <c r="F11" s="250" t="str">
        <f ca="1">IF('Summary Schedule'!$G$42="",IF('Summary Schedule'!$C$4="ESA", IF(A11&lt;='Summary Schedule'!$C$27, INDIRECT("'Sch3-Perf Period Cash Flow'!"&amp;LEFT(ADDRESS(1,ROW(A6),4,1),(ROW(A6)&gt;26)+1)&amp;$A$9+22&amp;""),0),""),"Term&gt;25Yrs")</f>
        <v/>
      </c>
      <c r="G11" s="373"/>
      <c r="H11" s="17"/>
      <c r="I11" s="17"/>
      <c r="J11" s="17"/>
    </row>
    <row r="12" spans="1:10" ht="18" customHeight="1" thickBot="1">
      <c r="A12" s="108">
        <v>4</v>
      </c>
      <c r="B12" s="250" t="str">
        <f>IF('Summary Schedule'!$C$4="ESA", IF(A12&lt;='Summary Schedule'!$C$27,'Itemized Costs-HIDDEN'!L8+E12,""), "")</f>
        <v/>
      </c>
      <c r="C12" s="250" t="str">
        <f>IF('Summary Schedule'!$C$4="ESA", IF(A12&lt;='Summary Schedule'!$C$27,'Amortization-HIDDEN'!K20+E12,""),"")</f>
        <v/>
      </c>
      <c r="D12" s="250" t="str">
        <f>IF('Summary Schedule'!$C$4="ESA",E12+F12,"")</f>
        <v/>
      </c>
      <c r="E12" s="250">
        <f>IF('Sch1esa-ESA Pymts'!D12="",0, 'Sch1esa-ESA Pymts'!D12)</f>
        <v>0</v>
      </c>
      <c r="F12" s="250" t="str">
        <f ca="1">IF('Summary Schedule'!$G$42="",IF('Summary Schedule'!$C$4="ESA", IF(A12&lt;='Summary Schedule'!$C$27, INDIRECT("'Sch3-Perf Period Cash Flow'!"&amp;LEFT(ADDRESS(1,ROW(A7),4,1),(ROW(A7)&gt;26)+1)&amp;$A$9+22&amp;""),0),""),"Term&gt;25Yrs")</f>
        <v/>
      </c>
      <c r="G12" s="373"/>
      <c r="H12" s="17"/>
      <c r="I12" s="17"/>
      <c r="J12" s="17"/>
    </row>
    <row r="13" spans="1:10" ht="18" customHeight="1" thickBot="1">
      <c r="A13" s="108">
        <v>5</v>
      </c>
      <c r="B13" s="250" t="str">
        <f>IF('Summary Schedule'!$C$4="ESA", IF(A13&lt;='Summary Schedule'!$C$27,'Itemized Costs-HIDDEN'!L9+E13,""), "")</f>
        <v/>
      </c>
      <c r="C13" s="250" t="str">
        <f>IF('Summary Schedule'!$C$4="ESA", IF(A13&lt;='Summary Schedule'!$C$27,'Amortization-HIDDEN'!K21+E13,""),"")</f>
        <v/>
      </c>
      <c r="D13" s="250" t="str">
        <f>IF('Summary Schedule'!$C$4="ESA",E13+F13,"")</f>
        <v/>
      </c>
      <c r="E13" s="250">
        <f>IF('Sch1esa-ESA Pymts'!D13="",0, 'Sch1esa-ESA Pymts'!D13)</f>
        <v>0</v>
      </c>
      <c r="F13" s="250" t="str">
        <f ca="1">IF('Summary Schedule'!$G$42="",IF('Summary Schedule'!$C$4="ESA", IF(A13&lt;='Summary Schedule'!$C$27, INDIRECT("'Sch3-Perf Period Cash Flow'!"&amp;LEFT(ADDRESS(1,ROW(A8),4,1),(ROW(A8)&gt;26)+1)&amp;$A$9+22&amp;""),0),""),"Term&gt;25Yrs")</f>
        <v/>
      </c>
      <c r="G13" s="373"/>
      <c r="H13" s="17"/>
      <c r="I13" s="17"/>
      <c r="J13" s="17"/>
    </row>
    <row r="14" spans="1:10" ht="18" customHeight="1" thickBot="1">
      <c r="A14" s="108">
        <v>6</v>
      </c>
      <c r="B14" s="250" t="str">
        <f>IF('Summary Schedule'!$C$4="ESA", IF(A14&lt;='Summary Schedule'!$C$27,'Itemized Costs-HIDDEN'!L10+E14,""), "")</f>
        <v/>
      </c>
      <c r="C14" s="250" t="str">
        <f>IF('Summary Schedule'!$C$4="ESA", IF(A14&lt;='Summary Schedule'!$C$27,'Amortization-HIDDEN'!K22+E14,""),"")</f>
        <v/>
      </c>
      <c r="D14" s="250" t="str">
        <f>IF('Summary Schedule'!$C$4="ESA",E14+F14,"")</f>
        <v/>
      </c>
      <c r="E14" s="250">
        <f>IF('Sch1esa-ESA Pymts'!D14="",0, 'Sch1esa-ESA Pymts'!D14)</f>
        <v>0</v>
      </c>
      <c r="F14" s="250" t="str">
        <f ca="1">IF('Summary Schedule'!$G$42="",IF('Summary Schedule'!$C$4="ESA", IF(A14&lt;='Summary Schedule'!$C$27, INDIRECT("'Sch3-Perf Period Cash Flow'!"&amp;LEFT(ADDRESS(1,ROW(A9),4,1),(ROW(A9)&gt;26)+1)&amp;$A$9+22&amp;""),0),""),"Term&gt;25Yrs")</f>
        <v/>
      </c>
      <c r="G14" s="373"/>
      <c r="H14" s="17"/>
      <c r="I14" s="17"/>
      <c r="J14" s="17"/>
    </row>
    <row r="15" spans="1:10" ht="18" customHeight="1" thickBot="1">
      <c r="A15" s="108">
        <v>7</v>
      </c>
      <c r="B15" s="250" t="str">
        <f>IF('Summary Schedule'!$C$4="ESA", IF(A15&lt;='Summary Schedule'!$C$27,'Itemized Costs-HIDDEN'!L11+E15,""), "")</f>
        <v/>
      </c>
      <c r="C15" s="250" t="str">
        <f>IF('Summary Schedule'!$C$4="ESA", IF(A15&lt;='Summary Schedule'!$C$27,'Amortization-HIDDEN'!K23+E15,""),"")</f>
        <v/>
      </c>
      <c r="D15" s="250" t="str">
        <f>IF('Summary Schedule'!$C$4="ESA",E15+F15,"")</f>
        <v/>
      </c>
      <c r="E15" s="250">
        <f>IF('Sch1esa-ESA Pymts'!D15="",0, 'Sch1esa-ESA Pymts'!D15)</f>
        <v>0</v>
      </c>
      <c r="F15" s="250" t="str">
        <f ca="1">IF('Summary Schedule'!$G$42="",IF('Summary Schedule'!$C$4="ESA", IF(A15&lt;='Summary Schedule'!$C$27, INDIRECT("'Sch3-Perf Period Cash Flow'!"&amp;LEFT(ADDRESS(1,ROW(A10),4,1),(ROW(A10)&gt;26)+1)&amp;$A$9+22&amp;""),0),""),"Term&gt;25Yrs")</f>
        <v/>
      </c>
      <c r="G15" s="373"/>
      <c r="H15" s="17"/>
      <c r="I15" s="17"/>
      <c r="J15" s="17"/>
    </row>
    <row r="16" spans="1:10" ht="18" customHeight="1" thickBot="1">
      <c r="A16" s="108">
        <v>8</v>
      </c>
      <c r="B16" s="250" t="str">
        <f>IF('Summary Schedule'!$C$4="ESA", IF(A16&lt;='Summary Schedule'!$C$27,'Itemized Costs-HIDDEN'!L12+E16,""), "")</f>
        <v/>
      </c>
      <c r="C16" s="250" t="str">
        <f>IF('Summary Schedule'!$C$4="ESA", IF(A16&lt;='Summary Schedule'!$C$27,'Amortization-HIDDEN'!K24+E16,""),"")</f>
        <v/>
      </c>
      <c r="D16" s="250" t="str">
        <f>IF('Summary Schedule'!$C$4="ESA",E16+F16,"")</f>
        <v/>
      </c>
      <c r="E16" s="250">
        <f>IF('Sch1esa-ESA Pymts'!D16="",0, 'Sch1esa-ESA Pymts'!D16)</f>
        <v>0</v>
      </c>
      <c r="F16" s="250" t="str">
        <f ca="1">IF('Summary Schedule'!$G$42="",IF('Summary Schedule'!$C$4="ESA", IF(A16&lt;='Summary Schedule'!$C$27, INDIRECT("'Sch3-Perf Period Cash Flow'!"&amp;LEFT(ADDRESS(1,ROW(A11),4,1),(ROW(A11)&gt;26)+1)&amp;$A$9+22&amp;""),0),""),"Term&gt;25Yrs")</f>
        <v/>
      </c>
      <c r="G16" s="373"/>
      <c r="H16" s="17"/>
      <c r="I16" s="17"/>
      <c r="J16" s="17"/>
    </row>
    <row r="17" spans="1:10" ht="18" customHeight="1" thickBot="1">
      <c r="A17" s="108">
        <v>9</v>
      </c>
      <c r="B17" s="250" t="str">
        <f>IF('Summary Schedule'!$C$4="ESA", IF(A17&lt;='Summary Schedule'!$C$27,'Itemized Costs-HIDDEN'!L13+E17,""), "")</f>
        <v/>
      </c>
      <c r="C17" s="250" t="str">
        <f>IF('Summary Schedule'!$C$4="ESA", IF(A17&lt;='Summary Schedule'!$C$27,'Amortization-HIDDEN'!K25+E17,""),"")</f>
        <v/>
      </c>
      <c r="D17" s="250" t="str">
        <f>IF('Summary Schedule'!$C$4="ESA",E17+F17,"")</f>
        <v/>
      </c>
      <c r="E17" s="250">
        <f>IF('Sch1esa-ESA Pymts'!D17="",0, 'Sch1esa-ESA Pymts'!D17)</f>
        <v>0</v>
      </c>
      <c r="F17" s="250" t="str">
        <f ca="1">IF('Summary Schedule'!$G$42="",IF('Summary Schedule'!$C$4="ESA", IF(A17&lt;='Summary Schedule'!$C$27, INDIRECT("'Sch3-Perf Period Cash Flow'!"&amp;LEFT(ADDRESS(1,ROW(A12),4,1),(ROW(A12)&gt;26)+1)&amp;$A$9+22&amp;""),0),""),"Term&gt;25Yrs")</f>
        <v/>
      </c>
      <c r="G17" s="373"/>
      <c r="H17" s="17"/>
      <c r="I17" s="17"/>
      <c r="J17" s="17"/>
    </row>
    <row r="18" spans="1:10" ht="18" customHeight="1" thickBot="1">
      <c r="A18" s="108">
        <v>10</v>
      </c>
      <c r="B18" s="250" t="str">
        <f>IF('Summary Schedule'!$C$4="ESA", IF(A18&lt;='Summary Schedule'!$C$27,'Itemized Costs-HIDDEN'!L14+E18,""), "")</f>
        <v/>
      </c>
      <c r="C18" s="250" t="str">
        <f>IF('Summary Schedule'!$C$4="ESA", IF(A18&lt;='Summary Schedule'!$C$27,'Amortization-HIDDEN'!K26+E18,""),"")</f>
        <v/>
      </c>
      <c r="D18" s="250" t="str">
        <f>IF('Summary Schedule'!$C$4="ESA",E18+F18,"")</f>
        <v/>
      </c>
      <c r="E18" s="250">
        <f>IF('Sch1esa-ESA Pymts'!D18="",0, 'Sch1esa-ESA Pymts'!D18)</f>
        <v>0</v>
      </c>
      <c r="F18" s="250" t="str">
        <f ca="1">IF('Summary Schedule'!$G$42="",IF('Summary Schedule'!$C$4="ESA", IF(A18&lt;='Summary Schedule'!$C$27, INDIRECT("'Sch3-Perf Period Cash Flow'!"&amp;LEFT(ADDRESS(1,ROW(A13),4,1),(ROW(A13)&gt;26)+1)&amp;$A$9+22&amp;""),0),""),"Term&gt;25Yrs")</f>
        <v/>
      </c>
      <c r="G18" s="373"/>
      <c r="H18" s="17"/>
      <c r="I18" s="17"/>
      <c r="J18" s="17"/>
    </row>
    <row r="19" spans="1:10" ht="18" customHeight="1" thickBot="1">
      <c r="A19" s="108">
        <v>11</v>
      </c>
      <c r="B19" s="250" t="str">
        <f>IF('Summary Schedule'!$C$4="ESA", IF(A19&lt;='Summary Schedule'!$C$27,'Itemized Costs-HIDDEN'!L15+E19,""), "")</f>
        <v/>
      </c>
      <c r="C19" s="250" t="str">
        <f>IF('Summary Schedule'!$C$4="ESA", IF(A19&lt;='Summary Schedule'!$C$27,'Amortization-HIDDEN'!K27+E19,""),"")</f>
        <v/>
      </c>
      <c r="D19" s="250" t="str">
        <f>IF('Summary Schedule'!$C$4="ESA",E19+F19,"")</f>
        <v/>
      </c>
      <c r="E19" s="250">
        <f>IF('Sch1esa-ESA Pymts'!D19="",0, 'Sch1esa-ESA Pymts'!D19)</f>
        <v>0</v>
      </c>
      <c r="F19" s="250" t="str">
        <f ca="1">IF('Summary Schedule'!$G$42="",IF('Summary Schedule'!$C$4="ESA", IF(A19&lt;='Summary Schedule'!$C$27, INDIRECT("'Sch3-Perf Period Cash Flow'!"&amp;LEFT(ADDRESS(1,ROW(A14),4,1),(ROW(A14)&gt;26)+1)&amp;$A$9+22&amp;""),0),""),"Term&gt;25Yrs")</f>
        <v/>
      </c>
      <c r="G19" s="373"/>
      <c r="H19" s="17"/>
      <c r="I19" s="17"/>
      <c r="J19" s="17"/>
    </row>
    <row r="20" spans="1:10" ht="18" customHeight="1" thickBot="1">
      <c r="A20" s="108">
        <v>12</v>
      </c>
      <c r="B20" s="250" t="str">
        <f>IF('Summary Schedule'!$C$4="ESA", IF(A20&lt;='Summary Schedule'!$C$27,'Itemized Costs-HIDDEN'!L16+E20,""), "")</f>
        <v/>
      </c>
      <c r="C20" s="250" t="str">
        <f>IF('Summary Schedule'!$C$4="ESA", IF(A20&lt;='Summary Schedule'!$C$27,'Amortization-HIDDEN'!K28+E20,""),"")</f>
        <v/>
      </c>
      <c r="D20" s="250" t="str">
        <f>IF('Summary Schedule'!$C$4="ESA",E20+F20,"")</f>
        <v/>
      </c>
      <c r="E20" s="250">
        <f>IF('Sch1esa-ESA Pymts'!D20="",0, 'Sch1esa-ESA Pymts'!D20)</f>
        <v>0</v>
      </c>
      <c r="F20" s="250" t="str">
        <f ca="1">IF('Summary Schedule'!$G$42="",IF('Summary Schedule'!$C$4="ESA", IF(A20&lt;='Summary Schedule'!$C$27, INDIRECT("'Sch3-Perf Period Cash Flow'!"&amp;LEFT(ADDRESS(1,ROW(A15),4,1),(ROW(A15)&gt;26)+1)&amp;$A$9+22&amp;""),0),""),"Term&gt;25Yrs")</f>
        <v/>
      </c>
      <c r="G20" s="373"/>
    </row>
    <row r="21" spans="1:10" ht="18" customHeight="1" thickBot="1">
      <c r="A21" s="108">
        <v>13</v>
      </c>
      <c r="B21" s="250" t="str">
        <f>IF('Summary Schedule'!$C$4="ESA", IF(A21&lt;='Summary Schedule'!$C$27,'Itemized Costs-HIDDEN'!L17+E21,""), "")</f>
        <v/>
      </c>
      <c r="C21" s="250" t="str">
        <f>IF('Summary Schedule'!$C$4="ESA", IF(A21&lt;='Summary Schedule'!$C$27,'Amortization-HIDDEN'!K29+E21,""),"")</f>
        <v/>
      </c>
      <c r="D21" s="250" t="str">
        <f>IF('Summary Schedule'!$C$4="ESA",E21+F21,"")</f>
        <v/>
      </c>
      <c r="E21" s="250">
        <f>IF('Sch1esa-ESA Pymts'!D21="",0, 'Sch1esa-ESA Pymts'!D21)</f>
        <v>0</v>
      </c>
      <c r="F21" s="250" t="str">
        <f ca="1">IF('Summary Schedule'!$G$42="",IF('Summary Schedule'!$C$4="ESA", IF(A21&lt;='Summary Schedule'!$C$27, INDIRECT("'Sch3-Perf Period Cash Flow'!"&amp;LEFT(ADDRESS(1,ROW(A16),4,1),(ROW(A16)&gt;26)+1)&amp;$A$9+22&amp;""),0),""),"Term&gt;25Yrs")</f>
        <v/>
      </c>
      <c r="G21" s="373"/>
    </row>
    <row r="22" spans="1:10" ht="18" customHeight="1" thickBot="1">
      <c r="A22" s="108">
        <v>14</v>
      </c>
      <c r="B22" s="250" t="str">
        <f>IF('Summary Schedule'!$C$4="ESA", IF(A22&lt;='Summary Schedule'!$C$27,'Itemized Costs-HIDDEN'!L18+E22,""), "")</f>
        <v/>
      </c>
      <c r="C22" s="250" t="str">
        <f>IF('Summary Schedule'!$C$4="ESA", IF(A22&lt;='Summary Schedule'!$C$27,'Amortization-HIDDEN'!K30+E22,""),"")</f>
        <v/>
      </c>
      <c r="D22" s="250" t="str">
        <f>IF('Summary Schedule'!$C$4="ESA",E22+F22,"")</f>
        <v/>
      </c>
      <c r="E22" s="250">
        <f>IF('Sch1esa-ESA Pymts'!D22="",0, 'Sch1esa-ESA Pymts'!D22)</f>
        <v>0</v>
      </c>
      <c r="F22" s="250" t="str">
        <f ca="1">IF('Summary Schedule'!$G$42="",IF('Summary Schedule'!$C$4="ESA", IF(A22&lt;='Summary Schedule'!$C$27, INDIRECT("'Sch3-Perf Period Cash Flow'!"&amp;LEFT(ADDRESS(1,ROW(A17),4,1),(ROW(A17)&gt;26)+1)&amp;$A$9+22&amp;""),0),""),"Term&gt;25Yrs")</f>
        <v/>
      </c>
      <c r="G22" s="373"/>
    </row>
    <row r="23" spans="1:10" ht="18" customHeight="1" thickBot="1">
      <c r="A23" s="108">
        <v>15</v>
      </c>
      <c r="B23" s="250" t="str">
        <f>IF('Summary Schedule'!$C$4="ESA", IF(A23&lt;='Summary Schedule'!$C$27,'Itemized Costs-HIDDEN'!L19+E23,""), "")</f>
        <v/>
      </c>
      <c r="C23" s="250" t="str">
        <f>IF('Summary Schedule'!$C$4="ESA", IF(A23&lt;='Summary Schedule'!$C$27,'Amortization-HIDDEN'!K31+E23,""),"")</f>
        <v/>
      </c>
      <c r="D23" s="250" t="str">
        <f>IF('Summary Schedule'!$C$4="ESA",E23+F23,"")</f>
        <v/>
      </c>
      <c r="E23" s="250">
        <f>IF('Sch1esa-ESA Pymts'!D23="",0, 'Sch1esa-ESA Pymts'!D23)</f>
        <v>0</v>
      </c>
      <c r="F23" s="250" t="str">
        <f ca="1">IF('Summary Schedule'!$G$42="",IF('Summary Schedule'!$C$4="ESA", IF(A23&lt;='Summary Schedule'!$C$27, INDIRECT("'Sch3-Perf Period Cash Flow'!"&amp;LEFT(ADDRESS(1,ROW(A18),4,1),(ROW(A18)&gt;26)+1)&amp;$A$9+22&amp;""),0),""),"Term&gt;25Yrs")</f>
        <v/>
      </c>
      <c r="G23" s="373"/>
    </row>
    <row r="24" spans="1:10" ht="18" customHeight="1" thickBot="1">
      <c r="A24" s="108">
        <v>16</v>
      </c>
      <c r="B24" s="250" t="str">
        <f>IF('Summary Schedule'!$C$4="ESA", IF(A24&lt;='Summary Schedule'!$C$27,'Itemized Costs-HIDDEN'!L20+E24,""), "")</f>
        <v/>
      </c>
      <c r="C24" s="250" t="str">
        <f>IF('Summary Schedule'!$C$4="ESA", IF(A24&lt;='Summary Schedule'!$C$27,'Amortization-HIDDEN'!K32+E24,""),"")</f>
        <v/>
      </c>
      <c r="D24" s="250" t="str">
        <f>IF('Summary Schedule'!$C$4="ESA",E24+F24,"")</f>
        <v/>
      </c>
      <c r="E24" s="250">
        <f>IF('Sch1esa-ESA Pymts'!D24="",0, 'Sch1esa-ESA Pymts'!D24)</f>
        <v>0</v>
      </c>
      <c r="F24" s="250" t="str">
        <f ca="1">IF('Summary Schedule'!$G$42="",IF('Summary Schedule'!$C$4="ESA", IF(A24&lt;='Summary Schedule'!$C$27, INDIRECT("'Sch3-Perf Period Cash Flow'!"&amp;LEFT(ADDRESS(1,ROW(A19),4,1),(ROW(A19)&gt;26)+1)&amp;$A$9+22&amp;""),0),""),"Term&gt;25Yrs")</f>
        <v/>
      </c>
      <c r="G24" s="373"/>
    </row>
    <row r="25" spans="1:10" ht="18" customHeight="1" thickBot="1">
      <c r="A25" s="108">
        <v>17</v>
      </c>
      <c r="B25" s="250" t="str">
        <f>IF('Summary Schedule'!$C$4="ESA", IF(A25&lt;='Summary Schedule'!$C$27,'Itemized Costs-HIDDEN'!L21+E25,""), "")</f>
        <v/>
      </c>
      <c r="C25" s="250" t="str">
        <f>IF('Summary Schedule'!$C$4="ESA", IF(A25&lt;='Summary Schedule'!$C$27,'Amortization-HIDDEN'!K33+E25,""),"")</f>
        <v/>
      </c>
      <c r="D25" s="250" t="str">
        <f>IF('Summary Schedule'!$C$4="ESA",E25+F25,"")</f>
        <v/>
      </c>
      <c r="E25" s="250">
        <f>IF('Sch1esa-ESA Pymts'!D25="",0, 'Sch1esa-ESA Pymts'!D25)</f>
        <v>0</v>
      </c>
      <c r="F25" s="250" t="str">
        <f ca="1">IF('Summary Schedule'!$G$42="",IF('Summary Schedule'!$C$4="ESA", IF(A25&lt;='Summary Schedule'!$C$27, INDIRECT("'Sch3-Perf Period Cash Flow'!"&amp;LEFT(ADDRESS(1,ROW(A20),4,1),(ROW(A20)&gt;26)+1)&amp;$A$9+22&amp;""),0),""),"Term&gt;25Yrs")</f>
        <v/>
      </c>
      <c r="G25" s="373"/>
    </row>
    <row r="26" spans="1:10" ht="18" customHeight="1" thickBot="1">
      <c r="A26" s="108">
        <v>18</v>
      </c>
      <c r="B26" s="250" t="str">
        <f>IF('Summary Schedule'!$C$4="ESA", IF(A26&lt;='Summary Schedule'!$C$27,'Itemized Costs-HIDDEN'!L22+E26,""), "")</f>
        <v/>
      </c>
      <c r="C26" s="250" t="str">
        <f>IF('Summary Schedule'!$C$4="ESA", IF(A26&lt;='Summary Schedule'!$C$27,'Amortization-HIDDEN'!K34+E26,""),"")</f>
        <v/>
      </c>
      <c r="D26" s="250" t="str">
        <f>IF('Summary Schedule'!$C$4="ESA",E26+F26,"")</f>
        <v/>
      </c>
      <c r="E26" s="250">
        <f>IF('Sch1esa-ESA Pymts'!D26="",0, 'Sch1esa-ESA Pymts'!D26)</f>
        <v>0</v>
      </c>
      <c r="F26" s="250" t="str">
        <f ca="1">IF('Summary Schedule'!$G$42="",IF('Summary Schedule'!$C$4="ESA", IF(A26&lt;='Summary Schedule'!$C$27, INDIRECT("'Sch3-Perf Period Cash Flow'!"&amp;LEFT(ADDRESS(1,ROW(A21),4,1),(ROW(A21)&gt;26)+1)&amp;$A$9+22&amp;""),0),""),"Term&gt;25Yrs")</f>
        <v/>
      </c>
      <c r="G26" s="373"/>
    </row>
    <row r="27" spans="1:10" ht="18" customHeight="1" thickBot="1">
      <c r="A27" s="108">
        <v>19</v>
      </c>
      <c r="B27" s="250" t="str">
        <f>IF('Summary Schedule'!$C$4="ESA", IF(A27&lt;='Summary Schedule'!$C$27,'Itemized Costs-HIDDEN'!L23+E27,""), "")</f>
        <v/>
      </c>
      <c r="C27" s="250" t="str">
        <f>IF('Summary Schedule'!$C$4="ESA", IF(A27&lt;='Summary Schedule'!$C$27,'Amortization-HIDDEN'!K35+E27,""),"")</f>
        <v/>
      </c>
      <c r="D27" s="250" t="str">
        <f>IF('Summary Schedule'!$C$4="ESA",E27+F27,"")</f>
        <v/>
      </c>
      <c r="E27" s="250">
        <f>IF('Sch1esa-ESA Pymts'!D27="",0, 'Sch1esa-ESA Pymts'!D27)</f>
        <v>0</v>
      </c>
      <c r="F27" s="250" t="str">
        <f ca="1">IF('Summary Schedule'!$G$42="",IF('Summary Schedule'!$C$4="ESA", IF(A27&lt;='Summary Schedule'!$C$27, INDIRECT("'Sch3-Perf Period Cash Flow'!"&amp;LEFT(ADDRESS(1,ROW(A22),4,1),(ROW(A22)&gt;26)+1)&amp;$A$9+22&amp;""),0),""),"Term&gt;25Yrs")</f>
        <v/>
      </c>
      <c r="G27" s="373"/>
    </row>
    <row r="28" spans="1:10" ht="18" customHeight="1" thickBot="1">
      <c r="A28" s="108">
        <v>20</v>
      </c>
      <c r="B28" s="250" t="str">
        <f>IF('Summary Schedule'!$C$4="ESA", IF(A28&lt;='Summary Schedule'!$C$27,'Itemized Costs-HIDDEN'!L24+E28,""), "")</f>
        <v/>
      </c>
      <c r="C28" s="250" t="str">
        <f>IF('Summary Schedule'!$C$4="ESA", IF(A28&lt;='Summary Schedule'!$C$27,'Amortization-HIDDEN'!K36+E28,""),"")</f>
        <v/>
      </c>
      <c r="D28" s="250" t="str">
        <f>IF('Summary Schedule'!$C$4="ESA",E28+F28,"")</f>
        <v/>
      </c>
      <c r="E28" s="250">
        <f>IF('Sch1esa-ESA Pymts'!D28="",0, 'Sch1esa-ESA Pymts'!D28)</f>
        <v>0</v>
      </c>
      <c r="F28" s="250" t="str">
        <f ca="1">IF('Summary Schedule'!$G$42="",IF('Summary Schedule'!$C$4="ESA", IF(A28&lt;='Summary Schedule'!$C$27, INDIRECT("'Sch3-Perf Period Cash Flow'!"&amp;LEFT(ADDRESS(1,ROW(A23),4,1),(ROW(A23)&gt;26)+1)&amp;$A$9+22&amp;""),0),""),"Term&gt;25Yrs")</f>
        <v/>
      </c>
      <c r="G28" s="373"/>
    </row>
    <row r="29" spans="1:10" ht="18" customHeight="1" thickBot="1">
      <c r="A29" s="108">
        <v>21</v>
      </c>
      <c r="B29" s="250" t="str">
        <f>IF('Summary Schedule'!$C$4="ESA", IF(A29&lt;='Summary Schedule'!$C$27,'Itemized Costs-HIDDEN'!L25+E29,""), "")</f>
        <v/>
      </c>
      <c r="C29" s="250" t="str">
        <f>IF('Summary Schedule'!$C$4="ESA", IF(A29&lt;='Summary Schedule'!$C$27,'Amortization-HIDDEN'!K37+E29,""),"")</f>
        <v/>
      </c>
      <c r="D29" s="250" t="str">
        <f>IF('Summary Schedule'!$C$4="ESA",E29+F29,"")</f>
        <v/>
      </c>
      <c r="E29" s="250">
        <f>IF('Sch1esa-ESA Pymts'!D29="",0, 'Sch1esa-ESA Pymts'!D29)</f>
        <v>0</v>
      </c>
      <c r="F29" s="250" t="str">
        <f ca="1">IF('Summary Schedule'!$G$42="",IF('Summary Schedule'!$C$4="ESA", IF(A29&lt;='Summary Schedule'!$C$27, INDIRECT("'Sch3-Perf Period Cash Flow'!"&amp;LEFT(ADDRESS(1,ROW(A24),4,1),(ROW(A24)&gt;26)+1)&amp;$A$9+22&amp;""),0),""),"Term&gt;25Yrs")</f>
        <v/>
      </c>
      <c r="G29" s="373"/>
    </row>
    <row r="30" spans="1:10" ht="18" customHeight="1" thickBot="1">
      <c r="A30" s="108">
        <v>22</v>
      </c>
      <c r="B30" s="250" t="str">
        <f>IF('Summary Schedule'!$C$4="ESA", IF(A30&lt;='Summary Schedule'!$C$27,'Itemized Costs-HIDDEN'!L26+E30,""), "")</f>
        <v/>
      </c>
      <c r="C30" s="250" t="str">
        <f>IF('Summary Schedule'!$C$4="ESA", IF(A30&lt;='Summary Schedule'!$C$27,'Amortization-HIDDEN'!K38+E30,""),"")</f>
        <v/>
      </c>
      <c r="D30" s="250" t="str">
        <f>IF('Summary Schedule'!$C$4="ESA",E30+F30,"")</f>
        <v/>
      </c>
      <c r="E30" s="250">
        <f>IF('Sch1esa-ESA Pymts'!D30="",0, 'Sch1esa-ESA Pymts'!D30)</f>
        <v>0</v>
      </c>
      <c r="F30" s="250" t="str">
        <f ca="1">IF('Summary Schedule'!$G$42="",IF('Summary Schedule'!$C$4="ESA", IF(A30&lt;='Summary Schedule'!$C$27, INDIRECT("'Sch3-Perf Period Cash Flow'!"&amp;LEFT(ADDRESS(1,ROW(A25),4,1),(ROW(A25)&gt;26)+1)&amp;$A$9+22&amp;""),0),""),"Term&gt;25Yrs")</f>
        <v/>
      </c>
      <c r="G30" s="373"/>
    </row>
    <row r="31" spans="1:10" ht="18" customHeight="1" thickBot="1">
      <c r="A31" s="108">
        <v>23</v>
      </c>
      <c r="B31" s="250" t="str">
        <f>IF('Summary Schedule'!$C$4="ESA", IF(A31&lt;='Summary Schedule'!$C$27,'Itemized Costs-HIDDEN'!L27+E31,""), "")</f>
        <v/>
      </c>
      <c r="C31" s="250" t="str">
        <f>IF('Summary Schedule'!$C$4="ESA", IF(A31&lt;='Summary Schedule'!$C$27,'Amortization-HIDDEN'!K39+E31,""),"")</f>
        <v/>
      </c>
      <c r="D31" s="250" t="str">
        <f>IF('Summary Schedule'!$C$4="ESA",E31+F31,"")</f>
        <v/>
      </c>
      <c r="E31" s="250">
        <f>IF('Sch1esa-ESA Pymts'!D31="",0, 'Sch1esa-ESA Pymts'!D31)</f>
        <v>0</v>
      </c>
      <c r="F31" s="250" t="str">
        <f ca="1">IF('Summary Schedule'!$G$42="",IF('Summary Schedule'!$C$4="ESA", IF(A31&lt;='Summary Schedule'!$C$27, INDIRECT("'Sch3-Perf Period Cash Flow'!"&amp;LEFT(ADDRESS(1,ROW(A26),4,1),(ROW(A26)&gt;26)+1)&amp;$A$9+22&amp;""),0),""),"Term&gt;25Yrs")</f>
        <v/>
      </c>
      <c r="G31" s="373"/>
    </row>
    <row r="32" spans="1:10" ht="18" customHeight="1" thickBot="1">
      <c r="A32" s="108">
        <v>24</v>
      </c>
      <c r="B32" s="250" t="str">
        <f>IF('Summary Schedule'!$C$4="ESA", IF(A32&lt;='Summary Schedule'!$C$27,'Itemized Costs-HIDDEN'!L28+E32,""), "")</f>
        <v/>
      </c>
      <c r="C32" s="250" t="str">
        <f>IF('Summary Schedule'!$C$4="ESA", IF(A32&lt;='Summary Schedule'!$C$27,'Amortization-HIDDEN'!K40+E32,""),"")</f>
        <v/>
      </c>
      <c r="D32" s="250" t="str">
        <f>IF('Summary Schedule'!$C$4="ESA",E32+F32,"")</f>
        <v/>
      </c>
      <c r="E32" s="250">
        <f>IF('Sch1esa-ESA Pymts'!D32="",0, 'Sch1esa-ESA Pymts'!D32)</f>
        <v>0</v>
      </c>
      <c r="F32" s="250" t="str">
        <f ca="1">IF('Summary Schedule'!$G$42="",IF('Summary Schedule'!$C$4="ESA", IF(A32&lt;='Summary Schedule'!$C$27, INDIRECT("'Sch3-Perf Period Cash Flow'!"&amp;LEFT(ADDRESS(1,ROW(A27),4,1),(ROW(A27)&gt;26)+1)&amp;$A$9+22&amp;""),0),""),"Term&gt;25Yrs")</f>
        <v/>
      </c>
      <c r="G32" s="373"/>
    </row>
    <row r="33" spans="1:7" ht="18" customHeight="1" thickBot="1">
      <c r="A33" s="108">
        <v>25</v>
      </c>
      <c r="B33" s="250" t="str">
        <f>IF('Summary Schedule'!$C$4="ESA", IF(A33&lt;='Summary Schedule'!$C$27,'Itemized Costs-HIDDEN'!L29+E33,""), "")</f>
        <v/>
      </c>
      <c r="C33" s="250" t="str">
        <f>IF('Summary Schedule'!$C$4="ESA", IF(A33&lt;='Summary Schedule'!$C$27,'Amortization-HIDDEN'!K41+E33,""),"")</f>
        <v/>
      </c>
      <c r="D33" s="250" t="str">
        <f>IF('Summary Schedule'!$C$4="ESA",E33+F33,"")</f>
        <v/>
      </c>
      <c r="E33" s="250">
        <f>IF('Sch1esa-ESA Pymts'!D33="",0, 'Sch1esa-ESA Pymts'!D33)</f>
        <v>0</v>
      </c>
      <c r="F33" s="250" t="str">
        <f ca="1">IF('Summary Schedule'!$G$42="",IF('Summary Schedule'!$C$4="ESA", IF(A33&lt;='Summary Schedule'!$C$27, INDIRECT("'Sch3-Perf Period Cash Flow'!"&amp;LEFT(ADDRESS(1,ROW(A28),4,1),(ROW(A28)&gt;26)+1)&amp;$A$9+22&amp;""),0),""),"Term&gt;25Yrs")</f>
        <v/>
      </c>
      <c r="G33" s="373"/>
    </row>
    <row r="34" spans="1:7" ht="18" hidden="1" customHeight="1" thickBot="1">
      <c r="A34" s="108">
        <v>26</v>
      </c>
      <c r="B34" s="250" t="str">
        <f>IF('Summary Schedule'!$C$4="ESA", IF(A34&lt;='Summary Schedule'!$C$27,'Itemized Costs-HIDDEN'!L30+E34,""), "")</f>
        <v/>
      </c>
      <c r="C34" s="250" t="str">
        <f>IF('Summary Schedule'!$C$4="ESA", IF(A34&lt;='Summary Schedule'!$C$27,'Amortization-HIDDEN'!K42+E34,""),"")</f>
        <v/>
      </c>
      <c r="D34" s="250" t="str">
        <f>IF('Summary Schedule'!$C$4="ESA",E34+F34,"")</f>
        <v/>
      </c>
      <c r="E34" s="250">
        <f>IF('Sch1esa-ESA Pymts'!D34="",0, 'Sch1esa-ESA Pymts'!D34)</f>
        <v>0</v>
      </c>
      <c r="F34" s="250" t="str">
        <f ca="1">IF('Summary Schedule'!$G$42="",IF('Summary Schedule'!$C$4="ESA", IF(A34&lt;='Summary Schedule'!$C$27, INDIRECT("'Sch3-Perf Period Cash Flow'!"&amp;LEFT(ADDRESS(1,ROW(A29),4,1),(ROW(A29)&gt;26)+1)&amp;$A$9+22&amp;""),0),""),"Term&gt;25Yrs")</f>
        <v/>
      </c>
      <c r="G34" s="373"/>
    </row>
    <row r="35" spans="1:7" ht="18" hidden="1" customHeight="1" thickBot="1">
      <c r="A35" s="108">
        <v>27</v>
      </c>
      <c r="B35" s="250" t="str">
        <f>IF('Summary Schedule'!$C$4="ESA", IF(A35&lt;='Summary Schedule'!$C$27,'Itemized Costs-HIDDEN'!L31+E35,""), "")</f>
        <v/>
      </c>
      <c r="C35" s="250" t="str">
        <f>IF('Summary Schedule'!$C$4="ESA", IF(A35&lt;='Summary Schedule'!$C$27,'Amortization-HIDDEN'!K43+E35,""),"")</f>
        <v/>
      </c>
      <c r="D35" s="250" t="str">
        <f>IF('Summary Schedule'!$C$4="ESA",E35+F35,"")</f>
        <v/>
      </c>
      <c r="E35" s="250">
        <f>IF('Sch1esa-ESA Pymts'!D35="",0, 'Sch1esa-ESA Pymts'!D35)</f>
        <v>0</v>
      </c>
      <c r="F35" s="250" t="str">
        <f ca="1">IF('Summary Schedule'!$G$42="",IF('Summary Schedule'!$C$4="ESA", IF(A35&lt;='Summary Schedule'!$C$27, INDIRECT("'Sch3-Perf Period Cash Flow'!"&amp;LEFT(ADDRESS(1,ROW(A30),4,1),(ROW(A30)&gt;26)+1)&amp;$A$9+22&amp;""),0),""),"Term&gt;25Yrs")</f>
        <v/>
      </c>
      <c r="G35" s="373"/>
    </row>
    <row r="36" spans="1:7" ht="18" hidden="1" customHeight="1" thickBot="1">
      <c r="A36" s="108">
        <v>28</v>
      </c>
      <c r="B36" s="250" t="str">
        <f>IF('Summary Schedule'!$C$4="ESA", IF(A36&lt;='Summary Schedule'!$C$27,'Itemized Costs-HIDDEN'!L32+E36,""), "")</f>
        <v/>
      </c>
      <c r="C36" s="250" t="str">
        <f>IF('Summary Schedule'!$C$4="ESA", IF(A36&lt;='Summary Schedule'!$C$27,'Amortization-HIDDEN'!K44+E36,""),"")</f>
        <v/>
      </c>
      <c r="D36" s="250" t="str">
        <f>IF('Summary Schedule'!$C$4="ESA",E36+F36,"")</f>
        <v/>
      </c>
      <c r="E36" s="250">
        <f>IF('Sch1esa-ESA Pymts'!D36="",0, 'Sch1esa-ESA Pymts'!D36)</f>
        <v>0</v>
      </c>
      <c r="F36" s="250" t="str">
        <f ca="1">IF('Summary Schedule'!$G$42="",IF('Summary Schedule'!$C$4="ESA", IF(A36&lt;='Summary Schedule'!$C$27, INDIRECT("'Sch3-Perf Period Cash Flow'!"&amp;LEFT(ADDRESS(1,ROW(A31),4,1),(ROW(A31)&gt;26)+1)&amp;$A$9+22&amp;""),0),""),"Term&gt;25Yrs")</f>
        <v/>
      </c>
      <c r="G36" s="373"/>
    </row>
    <row r="37" spans="1:7" ht="18" hidden="1" customHeight="1" thickBot="1">
      <c r="A37" s="108">
        <v>29</v>
      </c>
      <c r="B37" s="250" t="str">
        <f>IF('Summary Schedule'!$C$4="ESA", IF(A37&lt;='Summary Schedule'!$C$27,'Itemized Costs-HIDDEN'!L33+E37,""), "")</f>
        <v/>
      </c>
      <c r="C37" s="250" t="str">
        <f>IF('Summary Schedule'!$C$4="ESA", IF(A37&lt;='Summary Schedule'!$C$27,'Amortization-HIDDEN'!K45+E37,""),"")</f>
        <v/>
      </c>
      <c r="D37" s="250" t="str">
        <f>IF('Summary Schedule'!$C$4="ESA",E37+F37,"")</f>
        <v/>
      </c>
      <c r="E37" s="250">
        <f>IF('Sch1esa-ESA Pymts'!D37="",0, 'Sch1esa-ESA Pymts'!D37)</f>
        <v>0</v>
      </c>
      <c r="F37" s="250" t="str">
        <f ca="1">IF('Summary Schedule'!$G$42="",IF('Summary Schedule'!$C$4="ESA", IF(A37&lt;='Summary Schedule'!$C$27, INDIRECT("'Sch3-Perf Period Cash Flow'!"&amp;LEFT(ADDRESS(1,ROW(A32),4,1),(ROW(A32)&gt;26)+1)&amp;$A$9+22&amp;""),0),""),"Term&gt;25Yrs")</f>
        <v/>
      </c>
      <c r="G37" s="373"/>
    </row>
    <row r="38" spans="1:7" ht="18" hidden="1" customHeight="1" thickBot="1">
      <c r="A38" s="108">
        <v>30</v>
      </c>
      <c r="B38" s="250" t="str">
        <f>IF('Summary Schedule'!$C$4="ESA", IF(A38&lt;='Summary Schedule'!$C$27,'Itemized Costs-HIDDEN'!L34+E38,""), "")</f>
        <v/>
      </c>
      <c r="C38" s="250" t="str">
        <f>IF('Summary Schedule'!$C$4="ESA", IF(A38&lt;='Summary Schedule'!$C$27,'Amortization-HIDDEN'!K46+E38,""),"")</f>
        <v/>
      </c>
      <c r="D38" s="250" t="str">
        <f>IF('Summary Schedule'!$C$4="ESA",E38+F38,"")</f>
        <v/>
      </c>
      <c r="E38" s="250">
        <f>IF('Sch1esa-ESA Pymts'!D38="",0, 'Sch1esa-ESA Pymts'!D38)</f>
        <v>0</v>
      </c>
      <c r="F38" s="250" t="str">
        <f ca="1">IF('Summary Schedule'!$G$42="",IF('Summary Schedule'!$C$4="ESA", IF(A38&lt;='Summary Schedule'!$C$27, INDIRECT("'Sch3-Perf Period Cash Flow'!"&amp;LEFT(ADDRESS(1,ROW(A33),4,1),(ROW(A33)&gt;26)+1)&amp;$A$9+22&amp;""),0),""),"Term&gt;25Yrs")</f>
        <v/>
      </c>
      <c r="G38" s="373"/>
    </row>
    <row r="39" spans="1:7" ht="18" hidden="1" customHeight="1" thickBot="1">
      <c r="A39" s="108">
        <v>31</v>
      </c>
      <c r="B39" s="250" t="str">
        <f>IF('Summary Schedule'!$C$4="ESA", IF(A39&lt;='Summary Schedule'!$C$27,'Itemized Costs-HIDDEN'!L35+E39,""), "")</f>
        <v/>
      </c>
      <c r="C39" s="250" t="str">
        <f>IF('Summary Schedule'!$C$4="ESA", IF(A39&lt;='Summary Schedule'!$C$27,'Amortization-HIDDEN'!K47+E39,""),"")</f>
        <v/>
      </c>
      <c r="D39" s="250" t="str">
        <f>IF('Summary Schedule'!$C$4="ESA",E39+F39,"")</f>
        <v/>
      </c>
      <c r="E39" s="250">
        <f>IF('Sch1esa-ESA Pymts'!D39="",0, 'Sch1esa-ESA Pymts'!D39)</f>
        <v>0</v>
      </c>
      <c r="F39" s="250" t="str">
        <f ca="1">IF('Summary Schedule'!$G$42="",IF('Summary Schedule'!$C$4="ESA", IF(A39&lt;='Summary Schedule'!$C$27, INDIRECT("'Sch3-Perf Period Cash Flow'!"&amp;LEFT(ADDRESS(1,ROW(A34),4,1),(ROW(A34)&gt;26)+1)&amp;$A$9+22&amp;""),0),""),"Term&gt;25Yrs")</f>
        <v/>
      </c>
      <c r="G39" s="373"/>
    </row>
    <row r="40" spans="1:7" ht="18" hidden="1" customHeight="1" thickBot="1">
      <c r="A40" s="108">
        <v>32</v>
      </c>
      <c r="B40" s="250" t="str">
        <f>IF('Summary Schedule'!$C$4="ESA", IF(A40&lt;='Summary Schedule'!$C$27,'Itemized Costs-HIDDEN'!L36+E40,""), "")</f>
        <v/>
      </c>
      <c r="C40" s="250" t="str">
        <f>IF('Summary Schedule'!$C$4="ESA", IF(A40&lt;='Summary Schedule'!$C$27,'Amortization-HIDDEN'!K48+E40,""),"")</f>
        <v/>
      </c>
      <c r="D40" s="250" t="str">
        <f>IF('Summary Schedule'!$C$4="ESA",E40+F40,"")</f>
        <v/>
      </c>
      <c r="E40" s="250">
        <f>IF('Sch1esa-ESA Pymts'!D40="",0, 'Sch1esa-ESA Pymts'!D40)</f>
        <v>0</v>
      </c>
      <c r="F40" s="250" t="str">
        <f ca="1">IF('Summary Schedule'!$G$42="",IF('Summary Schedule'!$C$4="ESA", IF(A40&lt;='Summary Schedule'!$C$27, INDIRECT("'Sch3-Perf Period Cash Flow'!"&amp;LEFT(ADDRESS(1,ROW(A35),4,1),(ROW(A35)&gt;26)+1)&amp;$A$9+22&amp;""),0),""),"Term&gt;25Yrs")</f>
        <v/>
      </c>
      <c r="G40" s="373"/>
    </row>
    <row r="41" spans="1:7" ht="18" hidden="1" customHeight="1" thickBot="1">
      <c r="A41" s="108">
        <v>33</v>
      </c>
      <c r="B41" s="250" t="str">
        <f>IF('Summary Schedule'!$C$4="ESA", IF(A41&lt;='Summary Schedule'!$C$27,'Itemized Costs-HIDDEN'!L37+E41,""), "")</f>
        <v/>
      </c>
      <c r="C41" s="250" t="str">
        <f>IF('Summary Schedule'!$C$4="ESA", IF(A41&lt;='Summary Schedule'!$C$27,'Amortization-HIDDEN'!K49+E41,""),"")</f>
        <v/>
      </c>
      <c r="D41" s="250" t="str">
        <f>IF('Summary Schedule'!$C$4="ESA",E41+F41,"")</f>
        <v/>
      </c>
      <c r="E41" s="250">
        <f>IF('Sch1esa-ESA Pymts'!D41="",0, 'Sch1esa-ESA Pymts'!D41)</f>
        <v>0</v>
      </c>
      <c r="F41" s="250" t="str">
        <f ca="1">IF('Summary Schedule'!$G$42="",IF('Summary Schedule'!$C$4="ESA", IF(A41&lt;='Summary Schedule'!$C$27, INDIRECT("'Sch3-Perf Period Cash Flow'!"&amp;LEFT(ADDRESS(1,ROW(A36),4,1),(ROW(A36)&gt;26)+1)&amp;$A$9+22&amp;""),0),""),"Term&gt;25Yrs")</f>
        <v/>
      </c>
      <c r="G41" s="373"/>
    </row>
    <row r="42" spans="1:7" ht="18" hidden="1" customHeight="1" thickBot="1">
      <c r="A42" s="108">
        <v>34</v>
      </c>
      <c r="B42" s="250" t="str">
        <f>IF('Summary Schedule'!$C$4="ESA", IF(A42&lt;='Summary Schedule'!$C$27,'Itemized Costs-HIDDEN'!L38+E42,""), "")</f>
        <v/>
      </c>
      <c r="C42" s="250" t="str">
        <f>IF('Summary Schedule'!$C$4="ESA", IF(A42&lt;='Summary Schedule'!$C$27,'Amortization-HIDDEN'!K50+E42,""),"")</f>
        <v/>
      </c>
      <c r="D42" s="250" t="str">
        <f>IF('Summary Schedule'!$C$4="ESA",E42+F42,"")</f>
        <v/>
      </c>
      <c r="E42" s="250">
        <f>IF('Sch1esa-ESA Pymts'!D42="",0, 'Sch1esa-ESA Pymts'!D42)</f>
        <v>0</v>
      </c>
      <c r="F42" s="250" t="str">
        <f ca="1">IF('Summary Schedule'!$G$42="",IF('Summary Schedule'!$C$4="ESA", IF(A42&lt;='Summary Schedule'!$C$27, INDIRECT("'Sch3-Perf Period Cash Flow'!"&amp;LEFT(ADDRESS(1,ROW(A37),4,1),(ROW(A37)&gt;26)+1)&amp;$A$9+22&amp;""),0),""),"Term&gt;25Yrs")</f>
        <v/>
      </c>
      <c r="G42" s="373"/>
    </row>
    <row r="43" spans="1:7" ht="18" hidden="1" customHeight="1" thickBot="1">
      <c r="A43" s="108">
        <v>35</v>
      </c>
      <c r="B43" s="250" t="str">
        <f>IF('Summary Schedule'!$C$4="ESA", IF(A43&lt;='Summary Schedule'!$C$27,'Itemized Costs-HIDDEN'!L39+E43,""), "")</f>
        <v/>
      </c>
      <c r="C43" s="250" t="str">
        <f>IF('Summary Schedule'!$C$4="ESA", IF(A43&lt;='Summary Schedule'!$C$27,'Amortization-HIDDEN'!K51+E43,""),"")</f>
        <v/>
      </c>
      <c r="D43" s="250" t="str">
        <f>IF('Summary Schedule'!$C$4="ESA",E43+F43,"")</f>
        <v/>
      </c>
      <c r="E43" s="250">
        <f>IF('Sch1esa-ESA Pymts'!D43="",0, 'Sch1esa-ESA Pymts'!D43)</f>
        <v>0</v>
      </c>
      <c r="F43" s="250" t="str">
        <f ca="1">IF('Summary Schedule'!$G$42="",IF('Summary Schedule'!$C$4="ESA", IF(A43&lt;='Summary Schedule'!$C$27, INDIRECT("'Sch3-Perf Period Cash Flow'!"&amp;LEFT(ADDRESS(1,ROW(A38),4,1),(ROW(A38)&gt;26)+1)&amp;$A$9+22&amp;""),0),""),"Term&gt;25Yrs")</f>
        <v/>
      </c>
      <c r="G43" s="373"/>
    </row>
    <row r="44" spans="1:7" ht="18" hidden="1" customHeight="1" thickBot="1">
      <c r="A44" s="108">
        <v>36</v>
      </c>
      <c r="B44" s="250" t="str">
        <f>IF('Summary Schedule'!$C$4="ESA", IF(A44&lt;='Summary Schedule'!$C$27,'Itemized Costs-HIDDEN'!L40+E44,""), "")</f>
        <v/>
      </c>
      <c r="C44" s="250" t="str">
        <f>IF('Summary Schedule'!$C$4="ESA", IF(A44&lt;='Summary Schedule'!$C$27,'Amortization-HIDDEN'!K52+E44,""),"")</f>
        <v/>
      </c>
      <c r="D44" s="250" t="str">
        <f>IF('Summary Schedule'!$C$4="ESA",E44+F44,"")</f>
        <v/>
      </c>
      <c r="E44" s="250">
        <f>IF('Sch1esa-ESA Pymts'!D44="",0, 'Sch1esa-ESA Pymts'!D44)</f>
        <v>0</v>
      </c>
      <c r="F44" s="250" t="str">
        <f ca="1">IF('Summary Schedule'!$G$42="",IF('Summary Schedule'!$C$4="ESA", IF(A44&lt;='Summary Schedule'!$C$27, INDIRECT("'Sch3-Perf Period Cash Flow'!"&amp;LEFT(ADDRESS(1,ROW(A39),4,1),(ROW(A39)&gt;26)+1)&amp;$A$9+22&amp;""),0),""),"Term&gt;25Yrs")</f>
        <v/>
      </c>
      <c r="G44" s="373"/>
    </row>
    <row r="45" spans="1:7" ht="18" hidden="1" customHeight="1" thickBot="1">
      <c r="A45" s="108">
        <v>37</v>
      </c>
      <c r="B45" s="250" t="str">
        <f>IF('Summary Schedule'!$C$4="ESA", IF(A45&lt;='Summary Schedule'!$C$27,'Itemized Costs-HIDDEN'!L41+E45,""), "")</f>
        <v/>
      </c>
      <c r="C45" s="250" t="str">
        <f>IF('Summary Schedule'!$C$4="ESA", IF(A45&lt;='Summary Schedule'!$C$27,'Amortization-HIDDEN'!K53+E45,""),"")</f>
        <v/>
      </c>
      <c r="D45" s="250" t="str">
        <f>IF('Summary Schedule'!$C$4="ESA",E45+F45,"")</f>
        <v/>
      </c>
      <c r="E45" s="250">
        <f>IF('Sch1esa-ESA Pymts'!D45="",0, 'Sch1esa-ESA Pymts'!D45)</f>
        <v>0</v>
      </c>
      <c r="F45" s="250" t="str">
        <f ca="1">IF('Summary Schedule'!$G$42="",IF('Summary Schedule'!$C$4="ESA", IF(A45&lt;='Summary Schedule'!$C$27, INDIRECT("'Sch3-Perf Period Cash Flow'!"&amp;LEFT(ADDRESS(1,ROW(A40),4,1),(ROW(A40)&gt;26)+1)&amp;$A$9+22&amp;""),0),""),"Term&gt;25Yrs")</f>
        <v/>
      </c>
      <c r="G45" s="373"/>
    </row>
    <row r="46" spans="1:7" ht="18" hidden="1" customHeight="1" thickBot="1">
      <c r="A46" s="108">
        <v>38</v>
      </c>
      <c r="B46" s="250" t="str">
        <f>IF('Summary Schedule'!$C$4="ESA", IF(A46&lt;='Summary Schedule'!$C$27,'Itemized Costs-HIDDEN'!L42+E46,""), "")</f>
        <v/>
      </c>
      <c r="C46" s="250" t="str">
        <f>IF('Summary Schedule'!$C$4="ESA", IF(A46&lt;='Summary Schedule'!$C$27,'Amortization-HIDDEN'!K54+E46,""),"")</f>
        <v/>
      </c>
      <c r="D46" s="250" t="str">
        <f>IF('Summary Schedule'!$C$4="ESA",E46+F46,"")</f>
        <v/>
      </c>
      <c r="E46" s="250">
        <f>IF('Sch1esa-ESA Pymts'!D46="",0, 'Sch1esa-ESA Pymts'!D46)</f>
        <v>0</v>
      </c>
      <c r="F46" s="250" t="str">
        <f ca="1">IF('Summary Schedule'!$G$42="",IF('Summary Schedule'!$C$4="ESA", IF(A46&lt;='Summary Schedule'!$C$27, INDIRECT("'Sch3-Perf Period Cash Flow'!"&amp;LEFT(ADDRESS(1,ROW(A41),4,1),(ROW(A41)&gt;26)+1)&amp;$A$9+22&amp;""),0),""),"Term&gt;25Yrs")</f>
        <v/>
      </c>
      <c r="G46" s="373"/>
    </row>
    <row r="47" spans="1:7" ht="18" hidden="1" customHeight="1" thickBot="1">
      <c r="A47" s="108">
        <v>39</v>
      </c>
      <c r="B47" s="250" t="str">
        <f>IF('Summary Schedule'!$C$4="ESA", IF(A47&lt;='Summary Schedule'!$C$27,'Itemized Costs-HIDDEN'!L43+E47,""), "")</f>
        <v/>
      </c>
      <c r="C47" s="250" t="str">
        <f>IF('Summary Schedule'!$C$4="ESA", IF(A47&lt;='Summary Schedule'!$C$27,'Amortization-HIDDEN'!K55+E47,""),"")</f>
        <v/>
      </c>
      <c r="D47" s="250" t="str">
        <f>IF('Summary Schedule'!$C$4="ESA",E47+F47,"")</f>
        <v/>
      </c>
      <c r="E47" s="250">
        <f>IF('Sch1esa-ESA Pymts'!D47="",0, 'Sch1esa-ESA Pymts'!D47)</f>
        <v>0</v>
      </c>
      <c r="F47" s="250" t="str">
        <f ca="1">IF('Summary Schedule'!$G$42="",IF('Summary Schedule'!$C$4="ESA", IF(A47&lt;='Summary Schedule'!$C$27, INDIRECT("'Sch3-Perf Period Cash Flow'!"&amp;LEFT(ADDRESS(1,ROW(A42),4,1),(ROW(A42)&gt;26)+1)&amp;$A$9+22&amp;""),0),""),"Term&gt;25Yrs")</f>
        <v/>
      </c>
      <c r="G47" s="373"/>
    </row>
    <row r="48" spans="1:7" ht="18" hidden="1" customHeight="1" thickBot="1">
      <c r="A48" s="108">
        <v>40</v>
      </c>
      <c r="B48" s="250" t="str">
        <f>IF('Summary Schedule'!$C$4="ESA", IF(A48&lt;='Summary Schedule'!$C$27,'Itemized Costs-HIDDEN'!L44+E48,""), "")</f>
        <v/>
      </c>
      <c r="C48" s="250" t="str">
        <f>IF('Summary Schedule'!$C$4="ESA", IF(A48&lt;='Summary Schedule'!$C$27,'Amortization-HIDDEN'!K56+E48,""),"")</f>
        <v/>
      </c>
      <c r="D48" s="250" t="str">
        <f>IF('Summary Schedule'!$C$4="ESA",E48+F48,"")</f>
        <v/>
      </c>
      <c r="E48" s="250">
        <f>IF('Sch1esa-ESA Pymts'!D48="",0, 'Sch1esa-ESA Pymts'!D48)</f>
        <v>0</v>
      </c>
      <c r="F48" s="250" t="str">
        <f ca="1">IF('Summary Schedule'!$G$42="",IF('Summary Schedule'!$C$4="ESA", IF(A48&lt;='Summary Schedule'!$C$27, INDIRECT("'Sch3-Perf Period Cash Flow'!"&amp;LEFT(ADDRESS(1,ROW(A43),4,1),(ROW(A43)&gt;26)+1)&amp;$A$9+22&amp;""),0),""),"Term&gt;25Yrs")</f>
        <v/>
      </c>
      <c r="G48" s="373"/>
    </row>
    <row r="49" spans="1:8" ht="32.25" customHeight="1" thickBot="1">
      <c r="A49" s="109" t="s">
        <v>65</v>
      </c>
      <c r="B49" s="417">
        <f>SUM(B9:B33)</f>
        <v>0</v>
      </c>
      <c r="C49" s="251">
        <f>SUM(C9:C33)</f>
        <v>0</v>
      </c>
      <c r="D49" s="251">
        <f>SUM(D9:D33)</f>
        <v>0</v>
      </c>
      <c r="E49" s="374">
        <f>SUM(E9:E33)</f>
        <v>0</v>
      </c>
      <c r="F49" s="374">
        <f ca="1">SUM(F9:F33)</f>
        <v>0</v>
      </c>
      <c r="G49" s="48"/>
      <c r="H49" s="48"/>
    </row>
    <row r="50" spans="1:8" ht="20.25" customHeight="1">
      <c r="A50" s="572" t="s">
        <v>30</v>
      </c>
      <c r="B50" s="573"/>
      <c r="C50" s="578" t="s">
        <v>6</v>
      </c>
      <c r="D50" s="578" t="s">
        <v>152</v>
      </c>
      <c r="E50" s="602"/>
      <c r="F50" s="603"/>
      <c r="G50" s="48"/>
      <c r="H50" s="48"/>
    </row>
    <row r="51" spans="1:8" ht="17" thickBot="1">
      <c r="A51" s="574"/>
      <c r="B51" s="575"/>
      <c r="C51" s="579"/>
      <c r="D51" s="579"/>
      <c r="E51" s="604"/>
      <c r="F51" s="605"/>
      <c r="G51" s="48"/>
      <c r="H51" s="48"/>
    </row>
    <row r="52" spans="1:8" ht="18" customHeight="1" thickBot="1">
      <c r="A52" s="576"/>
      <c r="B52" s="577"/>
      <c r="C52" s="202">
        <f>C49+C6</f>
        <v>0</v>
      </c>
      <c r="D52" s="375">
        <f>D49+D6</f>
        <v>0</v>
      </c>
      <c r="E52" s="604"/>
      <c r="F52" s="605"/>
      <c r="G52" s="48"/>
      <c r="H52" s="48"/>
    </row>
    <row r="53" spans="1:8" ht="17" thickBot="1">
      <c r="A53" s="49"/>
      <c r="B53" s="50"/>
      <c r="C53" s="51"/>
      <c r="D53" s="51"/>
      <c r="E53" s="606"/>
      <c r="F53" s="607"/>
      <c r="G53" s="48"/>
      <c r="H53" s="48"/>
    </row>
    <row r="54" spans="1:8">
      <c r="A54" s="584" t="s">
        <v>15</v>
      </c>
      <c r="B54" s="585"/>
      <c r="C54" s="585"/>
      <c r="D54" s="585"/>
      <c r="E54" s="585"/>
      <c r="F54" s="541"/>
    </row>
    <row r="55" spans="1:8" ht="44.25" customHeight="1">
      <c r="A55" s="587" t="s">
        <v>394</v>
      </c>
      <c r="B55" s="588"/>
      <c r="C55" s="588"/>
      <c r="D55" s="588"/>
      <c r="E55" s="588"/>
      <c r="F55" s="589"/>
    </row>
    <row r="56" spans="1:8" ht="17.25" customHeight="1">
      <c r="A56" s="582" t="s">
        <v>318</v>
      </c>
      <c r="B56" s="590"/>
      <c r="C56" s="590"/>
      <c r="D56" s="590"/>
      <c r="E56" s="590"/>
      <c r="F56" s="591"/>
    </row>
    <row r="57" spans="1:8" ht="17.25" customHeight="1">
      <c r="A57" s="582" t="s">
        <v>206</v>
      </c>
      <c r="B57" s="570"/>
      <c r="C57" s="570"/>
      <c r="D57" s="570"/>
      <c r="E57" s="570"/>
      <c r="F57" s="583"/>
    </row>
    <row r="58" spans="1:8" ht="17.25" customHeight="1">
      <c r="A58" s="582" t="s">
        <v>279</v>
      </c>
      <c r="B58" s="570"/>
      <c r="C58" s="570"/>
      <c r="D58" s="570"/>
      <c r="E58" s="570"/>
      <c r="F58" s="583"/>
    </row>
    <row r="59" spans="1:8" ht="16" customHeight="1">
      <c r="A59" s="582" t="s">
        <v>280</v>
      </c>
      <c r="B59" s="570"/>
      <c r="C59" s="570"/>
      <c r="D59" s="570"/>
      <c r="E59" s="570"/>
      <c r="F59" s="583"/>
    </row>
    <row r="60" spans="1:8" ht="17" thickBot="1">
      <c r="A60" s="582" t="s">
        <v>281</v>
      </c>
      <c r="B60" s="570"/>
      <c r="C60" s="570"/>
      <c r="D60" s="570"/>
      <c r="E60" s="570"/>
      <c r="F60" s="583"/>
    </row>
    <row r="61" spans="1:8">
      <c r="A61" s="584" t="s">
        <v>173</v>
      </c>
      <c r="B61" s="585"/>
      <c r="C61" s="585"/>
      <c r="D61" s="585"/>
      <c r="E61" s="585"/>
      <c r="F61" s="541"/>
    </row>
    <row r="62" spans="1:8" ht="71.25" customHeight="1" thickBot="1">
      <c r="A62" s="548"/>
      <c r="B62" s="549"/>
      <c r="C62" s="549"/>
      <c r="D62" s="549"/>
      <c r="E62" s="549"/>
      <c r="F62" s="586"/>
    </row>
    <row r="63" spans="1:8">
      <c r="A63" s="4" t="str">
        <f>'Summary Schedule'!A53</f>
        <v>4.1.5.c</v>
      </c>
    </row>
    <row r="64" spans="1:8">
      <c r="A64" s="4" t="str">
        <f>'Summary Schedule'!A54</f>
        <v>04232024</v>
      </c>
    </row>
  </sheetData>
  <mergeCells count="18">
    <mergeCell ref="A60:F60"/>
    <mergeCell ref="A61:F61"/>
    <mergeCell ref="A62:F62"/>
    <mergeCell ref="A54:F54"/>
    <mergeCell ref="A55:F55"/>
    <mergeCell ref="A56:F56"/>
    <mergeCell ref="A57:F57"/>
    <mergeCell ref="A58:F58"/>
    <mergeCell ref="A59:F59"/>
    <mergeCell ref="A50:B52"/>
    <mergeCell ref="C50:C51"/>
    <mergeCell ref="D50:D51"/>
    <mergeCell ref="E50:F53"/>
    <mergeCell ref="A1:F1"/>
    <mergeCell ref="A2:F2"/>
    <mergeCell ref="E3:F6"/>
    <mergeCell ref="A4:A6"/>
    <mergeCell ref="A7:A8"/>
  </mergeCells>
  <pageMargins left="0.75" right="0.75" top="1" bottom="1" header="0.5" footer="0.5"/>
  <pageSetup scale="55"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 id="{1F956354-4D1A-1F4C-9B07-0AF826B54C43}">
            <xm:f>'Summary Schedule'!$C$4&lt;&gt;"ESA"</xm:f>
            <x14:dxf>
              <font>
                <u val="none"/>
                <color theme="0" tint="-0.24994659260841701"/>
              </font>
              <fill>
                <patternFill>
                  <fgColor theme="0" tint="-0.24994659260841701"/>
                  <bgColor theme="0" tint="-0.24994659260841701"/>
                </patternFill>
              </fill>
              <border>
                <left/>
                <right/>
                <top/>
                <bottom/>
                <vertical/>
                <horizontal/>
              </border>
            </x14:dxf>
          </x14:cfRule>
          <xm:sqref>A63:A64</xm:sqref>
        </x14:conditionalFormatting>
        <x14:conditionalFormatting xmlns:xm="http://schemas.microsoft.com/office/excel/2006/main">
          <x14:cfRule type="expression" priority="2" id="{21175981-518D-6547-87DA-D0EAC6F85FDA}">
            <xm:f>'Summary Schedule'!$C$4&lt;&gt;"ESA"</xm:f>
            <x14:dxf>
              <font>
                <color theme="0" tint="-0.24994659260841701"/>
              </font>
              <fill>
                <patternFill patternType="solid">
                  <fgColor theme="0" tint="-0.24994659260841701"/>
                  <bgColor theme="0" tint="-0.24994659260841701"/>
                </patternFill>
              </fill>
              <border>
                <left/>
                <right/>
                <top/>
                <bottom/>
                <vertical/>
                <horizontal/>
              </border>
            </x14:dxf>
          </x14:cfRule>
          <xm:sqref>A1:F64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0000FF"/>
    <pageSetUpPr fitToPage="1"/>
  </sheetPr>
  <dimension ref="A1:G46"/>
  <sheetViews>
    <sheetView zoomScale="90" zoomScaleNormal="90" workbookViewId="0">
      <selection activeCell="A2" sqref="A2:E2"/>
    </sheetView>
  </sheetViews>
  <sheetFormatPr baseColWidth="10" defaultColWidth="11" defaultRowHeight="16"/>
  <cols>
    <col min="1" max="1" width="23" style="4" customWidth="1"/>
    <col min="2" max="2" width="27" style="4" customWidth="1"/>
    <col min="3" max="3" width="32.33203125" style="4" customWidth="1"/>
    <col min="4" max="4" width="26.33203125" style="4" customWidth="1"/>
    <col min="5" max="5" width="33" style="4" customWidth="1"/>
    <col min="6" max="6" width="12.83203125" style="4" bestFit="1" customWidth="1"/>
    <col min="7" max="7" width="14.5" style="4" bestFit="1" customWidth="1"/>
    <col min="8" max="16384" width="11" style="4"/>
  </cols>
  <sheetData>
    <row r="1" spans="1:7" ht="21">
      <c r="A1" s="608" t="s">
        <v>395</v>
      </c>
      <c r="B1" s="609"/>
      <c r="C1" s="609"/>
      <c r="D1" s="609"/>
      <c r="E1" s="610"/>
    </row>
    <row r="2" spans="1:7" ht="22" thickBot="1">
      <c r="A2" s="558" t="s">
        <v>396</v>
      </c>
      <c r="B2" s="559"/>
      <c r="C2" s="559"/>
      <c r="D2" s="559"/>
      <c r="E2" s="560"/>
    </row>
    <row r="3" spans="1:7" ht="19.5" customHeight="1">
      <c r="A3" s="401"/>
      <c r="B3" s="100"/>
      <c r="C3" s="100"/>
      <c r="D3" s="100"/>
      <c r="E3" s="101"/>
    </row>
    <row r="4" spans="1:7" ht="19.5" customHeight="1">
      <c r="A4" s="403" t="s">
        <v>407</v>
      </c>
      <c r="B4" s="484"/>
      <c r="C4" s="396" t="s">
        <v>405</v>
      </c>
      <c r="D4" s="397"/>
      <c r="E4" s="404"/>
    </row>
    <row r="5" spans="1:7" ht="19.5" customHeight="1">
      <c r="A5" s="405" t="s">
        <v>408</v>
      </c>
      <c r="B5" s="376"/>
      <c r="C5" s="616"/>
      <c r="D5" s="617"/>
      <c r="E5" s="618"/>
    </row>
    <row r="6" spans="1:7" ht="19.5" customHeight="1" thickBot="1">
      <c r="A6" s="405" t="s">
        <v>409</v>
      </c>
      <c r="B6" s="376"/>
      <c r="C6" s="619"/>
      <c r="D6" s="620"/>
      <c r="E6" s="621"/>
    </row>
    <row r="7" spans="1:7" ht="17.25" customHeight="1">
      <c r="A7" s="611" t="s">
        <v>243</v>
      </c>
      <c r="B7" s="377" t="s">
        <v>0</v>
      </c>
      <c r="C7" s="377" t="s">
        <v>1</v>
      </c>
      <c r="D7" s="377" t="s">
        <v>2</v>
      </c>
      <c r="E7" s="378" t="s">
        <v>3</v>
      </c>
    </row>
    <row r="8" spans="1:7" ht="57" customHeight="1">
      <c r="A8" s="612"/>
      <c r="B8" s="379" t="s">
        <v>397</v>
      </c>
      <c r="C8" s="379" t="s">
        <v>398</v>
      </c>
      <c r="D8" s="379" t="s">
        <v>410</v>
      </c>
      <c r="E8" s="380" t="s">
        <v>411</v>
      </c>
    </row>
    <row r="9" spans="1:7" ht="18" customHeight="1">
      <c r="A9" s="381">
        <v>1</v>
      </c>
      <c r="B9" s="485">
        <f>B4</f>
        <v>0</v>
      </c>
      <c r="C9" s="398">
        <v>50543093.014923796</v>
      </c>
      <c r="D9" s="486">
        <f>IF(A9&lt;21,B9*C9,"")</f>
        <v>0</v>
      </c>
      <c r="E9" s="406">
        <v>-101568.70323</v>
      </c>
      <c r="F9" s="17"/>
      <c r="G9" s="17"/>
    </row>
    <row r="10" spans="1:7" ht="18" customHeight="1">
      <c r="A10" s="381">
        <v>2</v>
      </c>
      <c r="B10" s="485">
        <f>B9*(1+'Annual Escalation Rates'!B6)</f>
        <v>0</v>
      </c>
      <c r="C10" s="398">
        <v>50290377.549849182</v>
      </c>
      <c r="D10" s="486">
        <f t="shared" ref="D10:D28" si="0">IF(A10&lt;21,B10*C10,"")</f>
        <v>0</v>
      </c>
      <c r="E10" s="406">
        <v>-101060.85971384999</v>
      </c>
      <c r="F10" s="17"/>
      <c r="G10" s="17"/>
    </row>
    <row r="11" spans="1:7" ht="18" customHeight="1">
      <c r="A11" s="381">
        <v>3</v>
      </c>
      <c r="B11" s="485">
        <f>B10*(1+'Annual Escalation Rates'!B7)</f>
        <v>0</v>
      </c>
      <c r="C11" s="398">
        <v>50038925.662099928</v>
      </c>
      <c r="D11" s="486">
        <f t="shared" si="0"/>
        <v>0</v>
      </c>
      <c r="E11" s="406">
        <v>-100555.55541528075</v>
      </c>
      <c r="F11" s="17"/>
      <c r="G11" s="17"/>
    </row>
    <row r="12" spans="1:7" ht="18" customHeight="1">
      <c r="A12" s="381">
        <v>4</v>
      </c>
      <c r="B12" s="485">
        <f>B11*(1+'Annual Escalation Rates'!B8)</f>
        <v>0</v>
      </c>
      <c r="C12" s="398">
        <v>49788731.033789434</v>
      </c>
      <c r="D12" s="486">
        <f t="shared" si="0"/>
        <v>0</v>
      </c>
      <c r="E12" s="406">
        <v>-100052.77763820434</v>
      </c>
      <c r="F12" s="17"/>
      <c r="G12" s="17"/>
    </row>
    <row r="13" spans="1:7" ht="18" customHeight="1">
      <c r="A13" s="381">
        <v>5</v>
      </c>
      <c r="B13" s="485">
        <f>B12*(1+'Annual Escalation Rates'!B9)</f>
        <v>0</v>
      </c>
      <c r="C13" s="398">
        <v>49539787.37862049</v>
      </c>
      <c r="D13" s="486">
        <f t="shared" si="0"/>
        <v>0</v>
      </c>
      <c r="E13" s="406">
        <v>-99552.513750013328</v>
      </c>
      <c r="F13" s="17"/>
      <c r="G13" s="17"/>
    </row>
    <row r="14" spans="1:7" ht="18" customHeight="1">
      <c r="A14" s="381">
        <v>6</v>
      </c>
      <c r="B14" s="485">
        <f>B13*(1+'Annual Escalation Rates'!B10)</f>
        <v>0</v>
      </c>
      <c r="C14" s="398">
        <v>49292088.441727385</v>
      </c>
      <c r="D14" s="486">
        <f t="shared" si="0"/>
        <v>0</v>
      </c>
      <c r="E14" s="406">
        <v>-99054.751181263273</v>
      </c>
      <c r="F14" s="17"/>
      <c r="G14" s="17"/>
    </row>
    <row r="15" spans="1:7" ht="18" customHeight="1">
      <c r="A15" s="381">
        <v>7</v>
      </c>
      <c r="B15" s="485">
        <f>B14*(1+'Annual Escalation Rates'!B11)</f>
        <v>0</v>
      </c>
      <c r="C15" s="398">
        <v>49045627.999518752</v>
      </c>
      <c r="D15" s="486">
        <f t="shared" si="0"/>
        <v>0</v>
      </c>
      <c r="E15" s="406">
        <v>-98559.477425356949</v>
      </c>
      <c r="F15" s="17"/>
      <c r="G15" s="17"/>
    </row>
    <row r="16" spans="1:7" ht="18" customHeight="1">
      <c r="A16" s="381">
        <v>8</v>
      </c>
      <c r="B16" s="485">
        <f>B15*(1+'Annual Escalation Rates'!B12)</f>
        <v>0</v>
      </c>
      <c r="C16" s="398">
        <v>48800399.859521151</v>
      </c>
      <c r="D16" s="486">
        <f t="shared" si="0"/>
        <v>0</v>
      </c>
      <c r="E16" s="406">
        <v>-98066.680038230174</v>
      </c>
      <c r="F16" s="17"/>
      <c r="G16" s="17"/>
    </row>
    <row r="17" spans="1:7" ht="18" customHeight="1">
      <c r="A17" s="381">
        <v>9</v>
      </c>
      <c r="B17" s="485">
        <f>B16*(1+'Annual Escalation Rates'!B13)</f>
        <v>0</v>
      </c>
      <c r="C17" s="398">
        <v>48556397.860223547</v>
      </c>
      <c r="D17" s="486">
        <f t="shared" si="0"/>
        <v>0</v>
      </c>
      <c r="E17" s="406">
        <v>-97576.346638039016</v>
      </c>
      <c r="F17" s="17"/>
      <c r="G17" s="17"/>
    </row>
    <row r="18" spans="1:7" ht="18" customHeight="1">
      <c r="A18" s="381">
        <v>10</v>
      </c>
      <c r="B18" s="485">
        <f>B17*(1+'Annual Escalation Rates'!B14)</f>
        <v>0</v>
      </c>
      <c r="C18" s="398">
        <v>48313615.870922431</v>
      </c>
      <c r="D18" s="486">
        <f t="shared" si="0"/>
        <v>0</v>
      </c>
      <c r="E18" s="406">
        <v>-97088.464904848821</v>
      </c>
      <c r="F18" s="17"/>
      <c r="G18" s="17"/>
    </row>
    <row r="19" spans="1:7" ht="18" customHeight="1">
      <c r="A19" s="381">
        <v>11</v>
      </c>
      <c r="B19" s="485">
        <f>B18*(1+'Annual Escalation Rates'!B15)</f>
        <v>0</v>
      </c>
      <c r="C19" s="398">
        <v>48072047.791567817</v>
      </c>
      <c r="D19" s="486">
        <f t="shared" si="0"/>
        <v>0</v>
      </c>
      <c r="E19" s="406">
        <v>-96603.022580324585</v>
      </c>
      <c r="F19" s="17"/>
      <c r="G19" s="17"/>
    </row>
    <row r="20" spans="1:7" ht="18" customHeight="1">
      <c r="A20" s="381">
        <v>12</v>
      </c>
      <c r="B20" s="485">
        <f>B19*(1+'Annual Escalation Rates'!B16)</f>
        <v>0</v>
      </c>
      <c r="C20" s="398">
        <v>47831687.55260998</v>
      </c>
      <c r="D20" s="486">
        <f t="shared" si="0"/>
        <v>0</v>
      </c>
      <c r="E20" s="406">
        <v>-96120.007467422955</v>
      </c>
    </row>
    <row r="21" spans="1:7" ht="18" customHeight="1">
      <c r="A21" s="381">
        <v>13</v>
      </c>
      <c r="B21" s="485">
        <f>B20*(1+'Annual Escalation Rates'!B17)</f>
        <v>0</v>
      </c>
      <c r="C21" s="398">
        <v>47592529.11484693</v>
      </c>
      <c r="D21" s="486">
        <f t="shared" si="0"/>
        <v>0</v>
      </c>
      <c r="E21" s="406">
        <v>-95639.407430085848</v>
      </c>
    </row>
    <row r="22" spans="1:7" ht="18" customHeight="1">
      <c r="A22" s="381">
        <v>14</v>
      </c>
      <c r="B22" s="485">
        <f>B21*(1+'Annual Escalation Rates'!B18)</f>
        <v>0</v>
      </c>
      <c r="C22" s="398">
        <v>47354566.469272695</v>
      </c>
      <c r="D22" s="486">
        <f t="shared" si="0"/>
        <v>0</v>
      </c>
      <c r="E22" s="406">
        <v>-95161.210392935405</v>
      </c>
    </row>
    <row r="23" spans="1:7" ht="18" customHeight="1">
      <c r="A23" s="381">
        <v>15</v>
      </c>
      <c r="B23" s="485">
        <f>B22*(1+'Annual Escalation Rates'!B19)</f>
        <v>0</v>
      </c>
      <c r="C23" s="398">
        <v>47117793.636926331</v>
      </c>
      <c r="D23" s="486">
        <f t="shared" si="0"/>
        <v>0</v>
      </c>
      <c r="E23" s="406">
        <v>-94685.404340970723</v>
      </c>
    </row>
    <row r="24" spans="1:7" ht="18" customHeight="1">
      <c r="A24" s="381">
        <v>16</v>
      </c>
      <c r="B24" s="485">
        <f>B23*(1+'Annual Escalation Rates'!B20)</f>
        <v>0</v>
      </c>
      <c r="C24" s="398">
        <v>46882204.668741703</v>
      </c>
      <c r="D24" s="486">
        <f t="shared" si="0"/>
        <v>0</v>
      </c>
      <c r="E24" s="406">
        <v>-94211.977319265861</v>
      </c>
    </row>
    <row r="25" spans="1:7" ht="18" customHeight="1">
      <c r="A25" s="381">
        <v>17</v>
      </c>
      <c r="B25" s="485">
        <f>B24*(1+'Annual Escalation Rates'!B21)</f>
        <v>0</v>
      </c>
      <c r="C25" s="398">
        <v>46647793.645397991</v>
      </c>
      <c r="D25" s="486">
        <f t="shared" si="0"/>
        <v>0</v>
      </c>
      <c r="E25" s="406">
        <v>-93740.917432669536</v>
      </c>
    </row>
    <row r="26" spans="1:7" ht="18" customHeight="1">
      <c r="A26" s="381">
        <v>18</v>
      </c>
      <c r="B26" s="485">
        <f>B25*(1+'Annual Escalation Rates'!B22)</f>
        <v>0</v>
      </c>
      <c r="C26" s="398">
        <v>46414554.677171007</v>
      </c>
      <c r="D26" s="486">
        <f t="shared" si="0"/>
        <v>0</v>
      </c>
      <c r="E26" s="406">
        <v>-93272.212845506205</v>
      </c>
    </row>
    <row r="27" spans="1:7" ht="18" customHeight="1">
      <c r="A27" s="381">
        <v>19</v>
      </c>
      <c r="B27" s="485">
        <f>B26*(1+'Annual Escalation Rates'!B23)</f>
        <v>0</v>
      </c>
      <c r="C27" s="398">
        <v>46182481.903785147</v>
      </c>
      <c r="D27" s="486">
        <f t="shared" si="0"/>
        <v>0</v>
      </c>
      <c r="E27" s="406">
        <v>-92805.851781278674</v>
      </c>
    </row>
    <row r="28" spans="1:7" ht="18" customHeight="1">
      <c r="A28" s="381">
        <v>20</v>
      </c>
      <c r="B28" s="485">
        <f>B27*(1+'Annual Escalation Rates'!B24)</f>
        <v>0</v>
      </c>
      <c r="C28" s="398">
        <v>45951569.494266227</v>
      </c>
      <c r="D28" s="486">
        <f t="shared" si="0"/>
        <v>0</v>
      </c>
      <c r="E28" s="406">
        <v>-92341.822522372269</v>
      </c>
    </row>
    <row r="29" spans="1:7" ht="18" customHeight="1">
      <c r="A29" s="381">
        <v>21</v>
      </c>
      <c r="B29" s="485"/>
      <c r="C29" s="487"/>
      <c r="D29" s="486"/>
      <c r="E29" s="488"/>
    </row>
    <row r="30" spans="1:7" ht="18" customHeight="1">
      <c r="A30" s="381">
        <v>22</v>
      </c>
      <c r="B30" s="485"/>
      <c r="C30" s="487"/>
      <c r="D30" s="486"/>
      <c r="E30" s="488"/>
    </row>
    <row r="31" spans="1:7" ht="18" customHeight="1">
      <c r="A31" s="381">
        <v>23</v>
      </c>
      <c r="B31" s="485"/>
      <c r="C31" s="487"/>
      <c r="D31" s="486"/>
      <c r="E31" s="488"/>
    </row>
    <row r="32" spans="1:7" ht="18" customHeight="1">
      <c r="A32" s="381">
        <v>24</v>
      </c>
      <c r="B32" s="485"/>
      <c r="C32" s="487"/>
      <c r="D32" s="486"/>
      <c r="E32" s="488"/>
    </row>
    <row r="33" spans="1:7" ht="18" customHeight="1">
      <c r="A33" s="381">
        <v>25</v>
      </c>
      <c r="B33" s="485"/>
      <c r="C33" s="487"/>
      <c r="D33" s="486"/>
      <c r="E33" s="488"/>
    </row>
    <row r="34" spans="1:7" ht="32.25" customHeight="1">
      <c r="A34" s="402" t="s">
        <v>65</v>
      </c>
      <c r="B34" s="489"/>
      <c r="C34" s="490">
        <f>SUM(C9:C33)</f>
        <v>964256273.62578201</v>
      </c>
      <c r="D34" s="489">
        <f>SUM(D9:D33)</f>
        <v>0</v>
      </c>
      <c r="E34" s="491">
        <f>SUM(E9:E33)</f>
        <v>-1937717.9640479186</v>
      </c>
      <c r="G34" s="414"/>
    </row>
    <row r="35" spans="1:7">
      <c r="A35" s="382"/>
      <c r="B35" s="383"/>
      <c r="C35" s="384"/>
      <c r="D35" s="384"/>
      <c r="E35" s="407"/>
    </row>
    <row r="36" spans="1:7">
      <c r="A36" s="628" t="s">
        <v>15</v>
      </c>
      <c r="B36" s="629"/>
      <c r="C36" s="629"/>
      <c r="D36" s="629"/>
      <c r="E36" s="630"/>
    </row>
    <row r="37" spans="1:7">
      <c r="A37" s="631" t="s">
        <v>412</v>
      </c>
      <c r="B37" s="632"/>
      <c r="C37" s="632"/>
      <c r="D37" s="632"/>
      <c r="E37" s="633"/>
    </row>
    <row r="38" spans="1:7">
      <c r="A38" s="634" t="s">
        <v>413</v>
      </c>
      <c r="B38" s="635"/>
      <c r="C38" s="635"/>
      <c r="D38" s="635"/>
      <c r="E38" s="636"/>
    </row>
    <row r="39" spans="1:7" ht="17.25" customHeight="1">
      <c r="A39" s="409" t="s">
        <v>414</v>
      </c>
      <c r="B39" s="410"/>
      <c r="C39" s="410"/>
      <c r="D39" s="410"/>
      <c r="E39" s="411"/>
    </row>
    <row r="40" spans="1:7" ht="28" customHeight="1">
      <c r="A40" s="637" t="s">
        <v>415</v>
      </c>
      <c r="B40" s="635"/>
      <c r="C40" s="635"/>
      <c r="D40" s="635"/>
      <c r="E40" s="636"/>
    </row>
    <row r="41" spans="1:7">
      <c r="A41" s="638" t="s">
        <v>416</v>
      </c>
      <c r="B41" s="639"/>
      <c r="C41" s="639"/>
      <c r="D41" s="639"/>
      <c r="E41" s="640"/>
    </row>
    <row r="42" spans="1:7" ht="32" customHeight="1" thickBot="1">
      <c r="A42" s="613" t="s">
        <v>612</v>
      </c>
      <c r="B42" s="614"/>
      <c r="C42" s="614"/>
      <c r="D42" s="614"/>
      <c r="E42" s="615"/>
    </row>
    <row r="43" spans="1:7" ht="26.25" customHeight="1">
      <c r="A43" s="622" t="s">
        <v>173</v>
      </c>
      <c r="B43" s="623"/>
      <c r="C43" s="623"/>
      <c r="D43" s="623"/>
      <c r="E43" s="624"/>
    </row>
    <row r="44" spans="1:7" ht="71.25" customHeight="1" thickBot="1">
      <c r="A44" s="625"/>
      <c r="B44" s="626"/>
      <c r="C44" s="626"/>
      <c r="D44" s="626"/>
      <c r="E44" s="627"/>
    </row>
    <row r="45" spans="1:7">
      <c r="A45" s="4" t="str">
        <f>'Summary Schedule'!A53</f>
        <v>4.1.5.c</v>
      </c>
    </row>
    <row r="46" spans="1:7">
      <c r="A46" s="395" t="str">
        <f>'Summary Schedule'!A54</f>
        <v>04232024</v>
      </c>
    </row>
  </sheetData>
  <mergeCells count="12">
    <mergeCell ref="A43:E43"/>
    <mergeCell ref="A44:E44"/>
    <mergeCell ref="A36:E36"/>
    <mergeCell ref="A37:E37"/>
    <mergeCell ref="A38:E38"/>
    <mergeCell ref="A40:E40"/>
    <mergeCell ref="A41:E41"/>
    <mergeCell ref="A1:E1"/>
    <mergeCell ref="A2:E2"/>
    <mergeCell ref="A7:A8"/>
    <mergeCell ref="A42:E42"/>
    <mergeCell ref="C5:E6"/>
  </mergeCells>
  <dataValidations count="2">
    <dataValidation type="decimal" allowBlank="1" showInputMessage="1" showErrorMessage="1" error="Please enter a percentage between 0 and 100%." sqref="B5:B6" xr:uid="{00000000-0002-0000-0600-000000000000}">
      <formula1>0</formula1>
      <formula2>1</formula2>
    </dataValidation>
    <dataValidation allowBlank="1" showInputMessage="1" error="Please enter a percentage between 0 and 100%." sqref="B4" xr:uid="{00000000-0002-0000-0600-000001000000}"/>
  </dataValidations>
  <pageMargins left="0.75" right="0.75" top="1" bottom="1" header="0.5" footer="0.5"/>
  <pageSetup scale="55"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2" id="{53E6989B-71D7-4943-B051-F85DF762634A}">
            <xm:f>'Summary Schedule'!$C$4&lt;&gt;"ESA"</xm:f>
            <x14:dxf>
              <font>
                <u val="none"/>
                <color theme="0" tint="-0.24994659260841701"/>
              </font>
              <fill>
                <patternFill>
                  <fgColor theme="0" tint="-0.24994659260841701"/>
                  <bgColor theme="0" tint="-0.24994659260841701"/>
                </patternFill>
              </fill>
              <border>
                <left/>
                <right/>
                <top/>
                <bottom/>
                <vertical/>
                <horizontal/>
              </border>
            </x14:dxf>
          </x14:cfRule>
          <xm:sqref>A1:E47</xm:sqref>
        </x14:conditionalFormatting>
        <x14:conditionalFormatting xmlns:xm="http://schemas.microsoft.com/office/excel/2006/main">
          <x14:cfRule type="expression" priority="1" id="{16CB34C0-9E50-1249-B0B1-DC3F5002E41A}">
            <xm:f>'Summary Schedule'!$C$4&lt;&gt;"ESA"</xm:f>
            <x14:dxf>
              <font>
                <u val="none"/>
                <color theme="0" tint="-0.24994659260841701"/>
              </font>
              <fill>
                <patternFill>
                  <fgColor theme="0" tint="-0.24994659260841701"/>
                  <bgColor theme="0" tint="-0.24994659260841701"/>
                </patternFill>
              </fill>
              <border>
                <left/>
                <right/>
                <top/>
                <bottom/>
                <vertical/>
                <horizontal/>
              </border>
            </x14:dxf>
          </x14:cfRule>
          <xm:sqref>C5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72"/>
  <sheetViews>
    <sheetView zoomScale="90" zoomScaleNormal="90" zoomScalePageLayoutView="150" workbookViewId="0">
      <selection activeCell="J15" sqref="J15"/>
    </sheetView>
  </sheetViews>
  <sheetFormatPr baseColWidth="10" defaultColWidth="11" defaultRowHeight="16"/>
  <cols>
    <col min="1" max="2" width="31.5" style="20" customWidth="1"/>
    <col min="3" max="3" width="12.5" style="20" customWidth="1"/>
    <col min="4" max="4" width="30.5" style="20" customWidth="1"/>
    <col min="5" max="6" width="12.83203125" style="20" customWidth="1"/>
    <col min="7" max="7" width="15.5" style="20" customWidth="1"/>
    <col min="8" max="8" width="14.5" style="20" customWidth="1"/>
    <col min="9" max="9" width="20.5" style="20" customWidth="1"/>
    <col min="10" max="10" width="20" style="20" customWidth="1"/>
    <col min="11" max="11" width="14.5" style="20" customWidth="1"/>
    <col min="12" max="12" width="21" style="20" customWidth="1"/>
    <col min="13" max="13" width="11" style="20"/>
    <col min="14" max="14" width="13.33203125" style="20" bestFit="1" customWidth="1"/>
    <col min="15" max="15" width="11.83203125" style="20" bestFit="1" customWidth="1"/>
    <col min="16" max="16384" width="11" style="20"/>
  </cols>
  <sheetData>
    <row r="1" spans="1:13" ht="21" customHeight="1">
      <c r="A1" s="661" t="s">
        <v>264</v>
      </c>
      <c r="B1" s="661"/>
      <c r="C1" s="661"/>
      <c r="D1" s="661"/>
      <c r="E1" s="661"/>
      <c r="F1" s="661"/>
      <c r="G1" s="661"/>
      <c r="H1" s="661"/>
      <c r="I1" s="661"/>
      <c r="J1" s="661"/>
      <c r="K1" s="661"/>
      <c r="L1" s="661"/>
    </row>
    <row r="2" spans="1:13" ht="20.25" customHeight="1" thickBot="1">
      <c r="A2" s="661" t="s">
        <v>7</v>
      </c>
      <c r="B2" s="661"/>
      <c r="C2" s="661"/>
      <c r="D2" s="661"/>
      <c r="E2" s="661"/>
      <c r="F2" s="661"/>
      <c r="G2" s="661"/>
      <c r="H2" s="661"/>
      <c r="I2" s="661"/>
      <c r="J2" s="661"/>
      <c r="K2" s="661"/>
      <c r="L2" s="661"/>
    </row>
    <row r="3" spans="1:13" ht="20.25" customHeight="1" thickBot="1">
      <c r="A3" s="662"/>
      <c r="B3" s="663"/>
      <c r="C3" s="663"/>
      <c r="D3" s="663"/>
      <c r="E3" s="663"/>
      <c r="F3" s="663"/>
      <c r="G3" s="663"/>
      <c r="H3" s="663"/>
      <c r="I3" s="663"/>
      <c r="J3" s="663"/>
      <c r="K3" s="663"/>
      <c r="L3" s="664"/>
    </row>
    <row r="4" spans="1:13" ht="15.75" customHeight="1">
      <c r="A4" s="667" t="s">
        <v>203</v>
      </c>
      <c r="B4" s="670" t="s">
        <v>8</v>
      </c>
      <c r="C4" s="659" t="str">
        <f>IF('Summary Schedule'!C4="ESA", "Energy Sales Agreement (ESA)?","Not Applicable")</f>
        <v>Not Applicable</v>
      </c>
      <c r="D4" s="668" t="s">
        <v>204</v>
      </c>
      <c r="E4" s="657" t="s">
        <v>9</v>
      </c>
      <c r="F4" s="657" t="s">
        <v>59</v>
      </c>
      <c r="G4" s="657" t="s">
        <v>596</v>
      </c>
      <c r="H4" s="657" t="s">
        <v>399</v>
      </c>
      <c r="I4" s="657" t="s">
        <v>111</v>
      </c>
      <c r="J4" s="657" t="s">
        <v>1</v>
      </c>
      <c r="K4" s="657" t="s">
        <v>112</v>
      </c>
      <c r="L4" s="657" t="s">
        <v>113</v>
      </c>
    </row>
    <row r="5" spans="1:13" ht="18" customHeight="1" thickBot="1">
      <c r="A5" s="667"/>
      <c r="B5" s="670"/>
      <c r="C5" s="659"/>
      <c r="D5" s="668"/>
      <c r="E5" s="657"/>
      <c r="F5" s="657"/>
      <c r="G5" s="657"/>
      <c r="H5" s="657"/>
      <c r="I5" s="658"/>
      <c r="J5" s="657"/>
      <c r="K5" s="642"/>
      <c r="L5" s="642" t="s">
        <v>268</v>
      </c>
    </row>
    <row r="6" spans="1:13" ht="26.25" customHeight="1">
      <c r="A6" s="667"/>
      <c r="B6" s="670"/>
      <c r="C6" s="659"/>
      <c r="D6" s="668"/>
      <c r="E6" s="657"/>
      <c r="F6" s="657"/>
      <c r="G6" s="657"/>
      <c r="H6" s="657"/>
      <c r="I6" s="665" t="str">
        <f>IF('Summary Schedule'!C4="UESC","Implementation Cost (Direct)*","Cost of Goods and Services (Base Construction)*")</f>
        <v>Cost of Goods and Services (Base Construction)*</v>
      </c>
      <c r="J6" s="665" t="str">
        <f>IF('Summary Schedule'!C4="UESC", "Mark-up (Overhead &amp; Profit)", "Project Implementation Delivery Charge*")</f>
        <v>Project Implementation Delivery Charge*</v>
      </c>
      <c r="K6" s="641" t="s">
        <v>422</v>
      </c>
      <c r="L6" s="641" t="s">
        <v>323</v>
      </c>
    </row>
    <row r="7" spans="1:13" ht="48" customHeight="1" thickBot="1">
      <c r="A7" s="666"/>
      <c r="B7" s="671"/>
      <c r="C7" s="660"/>
      <c r="D7" s="669"/>
      <c r="E7" s="658"/>
      <c r="F7" s="658"/>
      <c r="G7" s="658"/>
      <c r="H7" s="658"/>
      <c r="I7" s="666"/>
      <c r="J7" s="666"/>
      <c r="K7" s="642"/>
      <c r="L7" s="642" t="s">
        <v>315</v>
      </c>
    </row>
    <row r="8" spans="1:13" ht="47.25" customHeight="1" thickBot="1">
      <c r="A8" s="654" t="s">
        <v>324</v>
      </c>
      <c r="B8" s="655"/>
      <c r="C8" s="655"/>
      <c r="D8" s="655"/>
      <c r="E8" s="655"/>
      <c r="F8" s="655"/>
      <c r="G8" s="655"/>
      <c r="H8" s="655"/>
      <c r="I8" s="655"/>
      <c r="J8" s="655"/>
      <c r="K8" s="656"/>
      <c r="L8" s="268">
        <v>675000</v>
      </c>
    </row>
    <row r="9" spans="1:13" ht="51" customHeight="1" thickBot="1">
      <c r="A9" s="492" t="s">
        <v>159</v>
      </c>
      <c r="B9" s="493" t="s">
        <v>616</v>
      </c>
      <c r="C9" s="271" t="s">
        <v>605</v>
      </c>
      <c r="D9" s="493" t="s">
        <v>159</v>
      </c>
      <c r="E9" s="270" t="s">
        <v>617</v>
      </c>
      <c r="F9" s="270">
        <v>0.8</v>
      </c>
      <c r="G9" s="268" t="s">
        <v>618</v>
      </c>
      <c r="H9" s="268">
        <v>12500</v>
      </c>
      <c r="I9" s="268">
        <v>4671428.7881773403</v>
      </c>
      <c r="J9" s="494">
        <v>3328571.5911329999</v>
      </c>
      <c r="K9" s="412">
        <v>0</v>
      </c>
      <c r="L9" s="44">
        <f>IF((I9+J9-K9)=0, "", (I9+J9-K9))</f>
        <v>8000000.3793103397</v>
      </c>
      <c r="M9" s="182"/>
    </row>
    <row r="10" spans="1:13" ht="42" customHeight="1" thickBot="1">
      <c r="A10" s="492" t="s">
        <v>597</v>
      </c>
      <c r="B10" s="493" t="s">
        <v>619</v>
      </c>
      <c r="C10" s="271" t="s">
        <v>605</v>
      </c>
      <c r="D10" s="493" t="s">
        <v>620</v>
      </c>
      <c r="E10" s="270" t="s">
        <v>621</v>
      </c>
      <c r="F10" s="270">
        <v>0.64</v>
      </c>
      <c r="G10" s="268" t="s">
        <v>618</v>
      </c>
      <c r="H10" s="268">
        <v>20000</v>
      </c>
      <c r="I10" s="268">
        <v>1824137.93103448</v>
      </c>
      <c r="J10" s="494">
        <v>675862.06896551698</v>
      </c>
      <c r="K10" s="412">
        <v>0</v>
      </c>
      <c r="L10" s="44">
        <f t="shared" ref="L10:L73" si="0">IF((I10+J10-K10)=0, "", (I10+J10-K10))</f>
        <v>2499999.9999999972</v>
      </c>
      <c r="M10" s="183"/>
    </row>
    <row r="11" spans="1:13" ht="29.25" customHeight="1" thickBot="1">
      <c r="A11" s="492" t="s">
        <v>161</v>
      </c>
      <c r="B11" s="493" t="s">
        <v>622</v>
      </c>
      <c r="C11" s="271" t="s">
        <v>605</v>
      </c>
      <c r="D11" s="493" t="s">
        <v>623</v>
      </c>
      <c r="E11" s="270" t="s">
        <v>624</v>
      </c>
      <c r="F11" s="270">
        <v>0.95</v>
      </c>
      <c r="G11" s="268" t="s">
        <v>618</v>
      </c>
      <c r="H11" s="268">
        <v>2500</v>
      </c>
      <c r="I11" s="268">
        <v>1600000</v>
      </c>
      <c r="J11" s="494">
        <v>500000</v>
      </c>
      <c r="K11" s="412">
        <v>0</v>
      </c>
      <c r="L11" s="44">
        <f>IF((I11+J11-K11)=0, "", (I11+J11-K11))</f>
        <v>2100000</v>
      </c>
      <c r="M11" s="183"/>
    </row>
    <row r="12" spans="1:13" ht="29.25" customHeight="1" thickBot="1">
      <c r="A12" s="492" t="s">
        <v>162</v>
      </c>
      <c r="B12" s="476" t="s">
        <v>625</v>
      </c>
      <c r="C12" s="271" t="s">
        <v>605</v>
      </c>
      <c r="D12" s="476" t="s">
        <v>626</v>
      </c>
      <c r="E12" s="269" t="s">
        <v>627</v>
      </c>
      <c r="F12" s="270">
        <v>0.3</v>
      </c>
      <c r="G12" s="268" t="s">
        <v>618</v>
      </c>
      <c r="H12" s="268">
        <v>2500</v>
      </c>
      <c r="I12" s="268">
        <v>322580.6451612903</v>
      </c>
      <c r="J12" s="494">
        <v>177419.3548387097</v>
      </c>
      <c r="K12" s="412">
        <v>0</v>
      </c>
      <c r="L12" s="44">
        <f t="shared" si="0"/>
        <v>500000</v>
      </c>
      <c r="M12" s="183"/>
    </row>
    <row r="13" spans="1:13" ht="29.25" customHeight="1" thickBot="1">
      <c r="A13" s="492" t="s">
        <v>167</v>
      </c>
      <c r="B13" s="476" t="s">
        <v>607</v>
      </c>
      <c r="C13" s="271" t="s">
        <v>605</v>
      </c>
      <c r="D13" s="476" t="s">
        <v>628</v>
      </c>
      <c r="E13" s="269" t="s">
        <v>629</v>
      </c>
      <c r="F13" s="270">
        <v>1</v>
      </c>
      <c r="G13" s="268" t="s">
        <v>618</v>
      </c>
      <c r="H13" s="268">
        <v>5000</v>
      </c>
      <c r="I13" s="268">
        <v>6951851.8518518498</v>
      </c>
      <c r="J13" s="494">
        <v>548148.14814814797</v>
      </c>
      <c r="K13" s="412">
        <v>0</v>
      </c>
      <c r="L13" s="44">
        <f t="shared" si="0"/>
        <v>7499999.9999999981</v>
      </c>
      <c r="M13" s="183"/>
    </row>
    <row r="14" spans="1:13" ht="29.25" customHeight="1" thickBot="1">
      <c r="A14" s="492" t="s">
        <v>169</v>
      </c>
      <c r="B14" s="476" t="s">
        <v>630</v>
      </c>
      <c r="C14" s="271" t="s">
        <v>605</v>
      </c>
      <c r="D14" s="476" t="s">
        <v>631</v>
      </c>
      <c r="E14" s="269" t="s">
        <v>632</v>
      </c>
      <c r="F14" s="270">
        <v>1</v>
      </c>
      <c r="G14" s="268" t="s">
        <v>618</v>
      </c>
      <c r="H14" s="268">
        <v>2500</v>
      </c>
      <c r="I14" s="268">
        <v>1134482.7586206901</v>
      </c>
      <c r="J14" s="494">
        <v>365517.24137931003</v>
      </c>
      <c r="K14" s="412">
        <v>0</v>
      </c>
      <c r="L14" s="44">
        <f>IF((I14+J14-K14)=0, "", (I14+J14-K14))</f>
        <v>1500000</v>
      </c>
      <c r="M14" s="183"/>
    </row>
    <row r="15" spans="1:13" ht="29.25" customHeight="1" thickBot="1">
      <c r="A15" s="458"/>
      <c r="B15" s="271"/>
      <c r="C15" s="271"/>
      <c r="D15" s="476"/>
      <c r="E15" s="269"/>
      <c r="F15" s="270"/>
      <c r="G15" s="268"/>
      <c r="H15" s="268"/>
      <c r="I15" s="268"/>
      <c r="J15" s="268"/>
      <c r="K15" s="268"/>
      <c r="L15" s="44" t="str">
        <f t="shared" ref="L15" si="1">IF((I15+J15-K15)=0, "", (I15+J15-K15))</f>
        <v/>
      </c>
      <c r="M15" s="183"/>
    </row>
    <row r="16" spans="1:13" ht="29.25" hidden="1" customHeight="1" thickBot="1">
      <c r="A16" s="476"/>
      <c r="B16" s="271"/>
      <c r="C16" s="271"/>
      <c r="D16" s="476"/>
      <c r="E16" s="269"/>
      <c r="F16" s="270"/>
      <c r="G16" s="269"/>
      <c r="H16" s="268"/>
      <c r="I16" s="268"/>
      <c r="J16" s="408"/>
      <c r="K16" s="268"/>
      <c r="L16" s="44" t="str">
        <f t="shared" si="0"/>
        <v/>
      </c>
      <c r="M16" s="183"/>
    </row>
    <row r="17" spans="1:13" ht="29.25" hidden="1" customHeight="1" thickBot="1">
      <c r="A17" s="476"/>
      <c r="B17" s="271"/>
      <c r="C17" s="271"/>
      <c r="D17" s="476"/>
      <c r="E17" s="269"/>
      <c r="F17" s="270"/>
      <c r="G17" s="269"/>
      <c r="H17" s="268"/>
      <c r="I17" s="268"/>
      <c r="J17" s="408"/>
      <c r="K17" s="268"/>
      <c r="L17" s="44" t="str">
        <f t="shared" si="0"/>
        <v/>
      </c>
      <c r="M17" s="183"/>
    </row>
    <row r="18" spans="1:13" ht="29.25" hidden="1" customHeight="1" thickBot="1">
      <c r="A18" s="476"/>
      <c r="B18" s="271"/>
      <c r="C18" s="271"/>
      <c r="D18" s="476"/>
      <c r="E18" s="269"/>
      <c r="F18" s="270"/>
      <c r="G18" s="269"/>
      <c r="H18" s="268"/>
      <c r="I18" s="268"/>
      <c r="J18" s="408"/>
      <c r="K18" s="268"/>
      <c r="L18" s="44" t="str">
        <f t="shared" si="0"/>
        <v/>
      </c>
      <c r="M18" s="183"/>
    </row>
    <row r="19" spans="1:13" ht="29.25" hidden="1" customHeight="1" thickBot="1">
      <c r="A19" s="476"/>
      <c r="B19" s="271"/>
      <c r="C19" s="271"/>
      <c r="D19" s="476"/>
      <c r="E19" s="269"/>
      <c r="F19" s="270"/>
      <c r="G19" s="269"/>
      <c r="H19" s="268"/>
      <c r="I19" s="268"/>
      <c r="J19" s="408"/>
      <c r="K19" s="268"/>
      <c r="L19" s="44" t="str">
        <f t="shared" si="0"/>
        <v/>
      </c>
      <c r="M19" s="183"/>
    </row>
    <row r="20" spans="1:13" ht="29.25" hidden="1" customHeight="1" thickBot="1">
      <c r="A20" s="476"/>
      <c r="B20" s="271"/>
      <c r="C20" s="271"/>
      <c r="D20" s="476"/>
      <c r="E20" s="269"/>
      <c r="F20" s="270"/>
      <c r="G20" s="269"/>
      <c r="H20" s="268"/>
      <c r="I20" s="268"/>
      <c r="J20" s="408"/>
      <c r="K20" s="268"/>
      <c r="L20" s="44" t="str">
        <f t="shared" si="0"/>
        <v/>
      </c>
      <c r="M20" s="183"/>
    </row>
    <row r="21" spans="1:13" ht="29.25" hidden="1" customHeight="1" thickBot="1">
      <c r="A21" s="476"/>
      <c r="B21" s="271"/>
      <c r="C21" s="271"/>
      <c r="D21" s="476"/>
      <c r="E21" s="269"/>
      <c r="F21" s="270"/>
      <c r="G21" s="269"/>
      <c r="H21" s="268"/>
      <c r="I21" s="268"/>
      <c r="J21" s="408"/>
      <c r="K21" s="268"/>
      <c r="L21" s="44" t="str">
        <f t="shared" si="0"/>
        <v/>
      </c>
      <c r="M21" s="182"/>
    </row>
    <row r="22" spans="1:13" ht="29.25" hidden="1" customHeight="1" thickBot="1">
      <c r="A22" s="476"/>
      <c r="B22" s="271"/>
      <c r="C22" s="271"/>
      <c r="D22" s="476"/>
      <c r="E22" s="269"/>
      <c r="F22" s="270"/>
      <c r="G22" s="269"/>
      <c r="H22" s="268"/>
      <c r="I22" s="268"/>
      <c r="J22" s="408"/>
      <c r="K22" s="268"/>
      <c r="L22" s="44" t="str">
        <f t="shared" si="0"/>
        <v/>
      </c>
      <c r="M22" s="182"/>
    </row>
    <row r="23" spans="1:13" ht="29.25" hidden="1" customHeight="1" thickBot="1">
      <c r="A23" s="476"/>
      <c r="B23" s="271"/>
      <c r="C23" s="271"/>
      <c r="D23" s="476"/>
      <c r="E23" s="269"/>
      <c r="F23" s="270"/>
      <c r="G23" s="269"/>
      <c r="H23" s="268"/>
      <c r="I23" s="268"/>
      <c r="J23" s="408"/>
      <c r="K23" s="268"/>
      <c r="L23" s="44" t="str">
        <f t="shared" si="0"/>
        <v/>
      </c>
      <c r="M23" s="182"/>
    </row>
    <row r="24" spans="1:13" ht="29.25" hidden="1" customHeight="1" thickBot="1">
      <c r="A24" s="476"/>
      <c r="B24" s="271"/>
      <c r="C24" s="271"/>
      <c r="D24" s="476"/>
      <c r="E24" s="269"/>
      <c r="F24" s="270"/>
      <c r="G24" s="269"/>
      <c r="H24" s="268"/>
      <c r="I24" s="268"/>
      <c r="J24" s="408"/>
      <c r="K24" s="268"/>
      <c r="L24" s="44" t="str">
        <f t="shared" si="0"/>
        <v/>
      </c>
      <c r="M24" s="182"/>
    </row>
    <row r="25" spans="1:13" ht="29.25" hidden="1" customHeight="1" thickBot="1">
      <c r="A25" s="476"/>
      <c r="B25" s="271"/>
      <c r="C25" s="271"/>
      <c r="D25" s="476"/>
      <c r="E25" s="269"/>
      <c r="F25" s="270"/>
      <c r="G25" s="269"/>
      <c r="H25" s="268"/>
      <c r="I25" s="268"/>
      <c r="J25" s="408"/>
      <c r="K25" s="268"/>
      <c r="L25" s="44" t="str">
        <f t="shared" si="0"/>
        <v/>
      </c>
      <c r="M25" s="182"/>
    </row>
    <row r="26" spans="1:13" ht="29.25" hidden="1" customHeight="1" thickBot="1">
      <c r="A26" s="476"/>
      <c r="B26" s="271"/>
      <c r="C26" s="271"/>
      <c r="D26" s="476"/>
      <c r="E26" s="269"/>
      <c r="F26" s="270"/>
      <c r="G26" s="269"/>
      <c r="H26" s="268"/>
      <c r="I26" s="268"/>
      <c r="J26" s="408"/>
      <c r="K26" s="268"/>
      <c r="L26" s="44" t="str">
        <f t="shared" si="0"/>
        <v/>
      </c>
      <c r="M26" s="182"/>
    </row>
    <row r="27" spans="1:13" ht="29.25" hidden="1" customHeight="1" thickBot="1">
      <c r="A27" s="476"/>
      <c r="B27" s="271"/>
      <c r="C27" s="271"/>
      <c r="D27" s="476"/>
      <c r="E27" s="269"/>
      <c r="F27" s="270"/>
      <c r="G27" s="269"/>
      <c r="H27" s="268"/>
      <c r="I27" s="268"/>
      <c r="J27" s="408"/>
      <c r="K27" s="268"/>
      <c r="L27" s="44" t="str">
        <f t="shared" si="0"/>
        <v/>
      </c>
      <c r="M27" s="182"/>
    </row>
    <row r="28" spans="1:13" ht="29.25" hidden="1" customHeight="1" thickBot="1">
      <c r="A28" s="476"/>
      <c r="B28" s="271"/>
      <c r="C28" s="271"/>
      <c r="D28" s="476"/>
      <c r="E28" s="269"/>
      <c r="F28" s="270"/>
      <c r="G28" s="269"/>
      <c r="H28" s="268"/>
      <c r="I28" s="268"/>
      <c r="J28" s="408"/>
      <c r="K28" s="268"/>
      <c r="L28" s="44" t="str">
        <f t="shared" si="0"/>
        <v/>
      </c>
      <c r="M28" s="182"/>
    </row>
    <row r="29" spans="1:13" ht="29.25" hidden="1" customHeight="1" thickBot="1">
      <c r="A29" s="476"/>
      <c r="B29" s="271"/>
      <c r="C29" s="271"/>
      <c r="D29" s="476"/>
      <c r="E29" s="269"/>
      <c r="F29" s="270"/>
      <c r="G29" s="269"/>
      <c r="H29" s="268"/>
      <c r="I29" s="268"/>
      <c r="J29" s="408"/>
      <c r="K29" s="268"/>
      <c r="L29" s="44" t="str">
        <f t="shared" si="0"/>
        <v/>
      </c>
      <c r="M29" s="182"/>
    </row>
    <row r="30" spans="1:13" ht="29.25" hidden="1" customHeight="1" thickBot="1">
      <c r="A30" s="476"/>
      <c r="B30" s="271"/>
      <c r="C30" s="271"/>
      <c r="D30" s="476"/>
      <c r="E30" s="269"/>
      <c r="F30" s="270"/>
      <c r="G30" s="269"/>
      <c r="H30" s="268"/>
      <c r="I30" s="268"/>
      <c r="J30" s="408"/>
      <c r="K30" s="268"/>
      <c r="L30" s="44" t="str">
        <f t="shared" si="0"/>
        <v/>
      </c>
      <c r="M30" s="182"/>
    </row>
    <row r="31" spans="1:13" ht="29.25" hidden="1" customHeight="1" thickBot="1">
      <c r="A31" s="476"/>
      <c r="B31" s="271"/>
      <c r="C31" s="271"/>
      <c r="D31" s="476"/>
      <c r="E31" s="269"/>
      <c r="F31" s="270"/>
      <c r="G31" s="269"/>
      <c r="H31" s="268"/>
      <c r="I31" s="268"/>
      <c r="J31" s="408"/>
      <c r="K31" s="268"/>
      <c r="L31" s="44" t="str">
        <f t="shared" si="0"/>
        <v/>
      </c>
      <c r="M31" s="182"/>
    </row>
    <row r="32" spans="1:13" ht="29.25" hidden="1" customHeight="1" thickBot="1">
      <c r="A32" s="476"/>
      <c r="B32" s="271"/>
      <c r="C32" s="271"/>
      <c r="D32" s="476"/>
      <c r="E32" s="269"/>
      <c r="F32" s="270"/>
      <c r="G32" s="269"/>
      <c r="H32" s="268"/>
      <c r="I32" s="268"/>
      <c r="J32" s="408"/>
      <c r="K32" s="268"/>
      <c r="L32" s="44" t="str">
        <f t="shared" si="0"/>
        <v/>
      </c>
      <c r="M32" s="182"/>
    </row>
    <row r="33" spans="1:13" ht="29.25" hidden="1" customHeight="1" thickBot="1">
      <c r="A33" s="476"/>
      <c r="B33" s="271"/>
      <c r="C33" s="271"/>
      <c r="D33" s="476"/>
      <c r="E33" s="269"/>
      <c r="F33" s="270"/>
      <c r="G33" s="269"/>
      <c r="H33" s="268"/>
      <c r="I33" s="268"/>
      <c r="J33" s="408"/>
      <c r="K33" s="268"/>
      <c r="L33" s="44" t="str">
        <f t="shared" si="0"/>
        <v/>
      </c>
      <c r="M33" s="182"/>
    </row>
    <row r="34" spans="1:13" ht="29.25" hidden="1" customHeight="1" thickBot="1">
      <c r="A34" s="476"/>
      <c r="B34" s="271"/>
      <c r="C34" s="271"/>
      <c r="D34" s="476"/>
      <c r="E34" s="269"/>
      <c r="F34" s="270"/>
      <c r="G34" s="269"/>
      <c r="H34" s="268"/>
      <c r="I34" s="268"/>
      <c r="J34" s="408"/>
      <c r="K34" s="268"/>
      <c r="L34" s="44" t="str">
        <f t="shared" si="0"/>
        <v/>
      </c>
      <c r="M34" s="182"/>
    </row>
    <row r="35" spans="1:13" ht="29.25" hidden="1" customHeight="1" thickBot="1">
      <c r="A35" s="476"/>
      <c r="B35" s="271"/>
      <c r="C35" s="271"/>
      <c r="D35" s="476"/>
      <c r="E35" s="269"/>
      <c r="F35" s="270"/>
      <c r="G35" s="269"/>
      <c r="H35" s="268"/>
      <c r="I35" s="268"/>
      <c r="J35" s="408"/>
      <c r="K35" s="268"/>
      <c r="L35" s="44" t="str">
        <f t="shared" si="0"/>
        <v/>
      </c>
      <c r="M35" s="182"/>
    </row>
    <row r="36" spans="1:13" ht="29.25" hidden="1" customHeight="1" thickBot="1">
      <c r="A36" s="476"/>
      <c r="B36" s="271"/>
      <c r="C36" s="271"/>
      <c r="D36" s="476"/>
      <c r="E36" s="269"/>
      <c r="F36" s="270"/>
      <c r="G36" s="269"/>
      <c r="H36" s="268"/>
      <c r="I36" s="268"/>
      <c r="J36" s="408"/>
      <c r="K36" s="268"/>
      <c r="L36" s="44" t="str">
        <f t="shared" si="0"/>
        <v/>
      </c>
      <c r="M36" s="182"/>
    </row>
    <row r="37" spans="1:13" ht="29.25" hidden="1" customHeight="1" thickBot="1">
      <c r="A37" s="476"/>
      <c r="B37" s="271"/>
      <c r="C37" s="271"/>
      <c r="D37" s="476"/>
      <c r="E37" s="269"/>
      <c r="F37" s="270"/>
      <c r="G37" s="269"/>
      <c r="H37" s="268"/>
      <c r="I37" s="268"/>
      <c r="J37" s="408"/>
      <c r="K37" s="268"/>
      <c r="L37" s="44" t="str">
        <f t="shared" si="0"/>
        <v/>
      </c>
      <c r="M37" s="182"/>
    </row>
    <row r="38" spans="1:13" ht="29.25" hidden="1" customHeight="1" thickBot="1">
      <c r="A38" s="476"/>
      <c r="B38" s="271"/>
      <c r="C38" s="271"/>
      <c r="D38" s="476"/>
      <c r="E38" s="269"/>
      <c r="F38" s="270"/>
      <c r="G38" s="269"/>
      <c r="H38" s="268"/>
      <c r="I38" s="268"/>
      <c r="J38" s="408"/>
      <c r="K38" s="268"/>
      <c r="L38" s="44" t="str">
        <f t="shared" si="0"/>
        <v/>
      </c>
      <c r="M38" s="182"/>
    </row>
    <row r="39" spans="1:13" ht="29.25" hidden="1" customHeight="1" thickBot="1">
      <c r="A39" s="476"/>
      <c r="B39" s="271"/>
      <c r="C39" s="271"/>
      <c r="D39" s="476"/>
      <c r="E39" s="269"/>
      <c r="F39" s="270"/>
      <c r="G39" s="269"/>
      <c r="H39" s="268"/>
      <c r="I39" s="268"/>
      <c r="J39" s="408"/>
      <c r="K39" s="268"/>
      <c r="L39" s="44" t="str">
        <f t="shared" si="0"/>
        <v/>
      </c>
      <c r="M39" s="182"/>
    </row>
    <row r="40" spans="1:13" ht="29.25" hidden="1" customHeight="1" thickBot="1">
      <c r="A40" s="476"/>
      <c r="B40" s="271"/>
      <c r="C40" s="271"/>
      <c r="D40" s="476"/>
      <c r="E40" s="269"/>
      <c r="F40" s="270"/>
      <c r="G40" s="269"/>
      <c r="H40" s="268"/>
      <c r="I40" s="268"/>
      <c r="J40" s="408"/>
      <c r="K40" s="268"/>
      <c r="L40" s="44" t="str">
        <f t="shared" si="0"/>
        <v/>
      </c>
      <c r="M40" s="182"/>
    </row>
    <row r="41" spans="1:13" ht="29.25" hidden="1" customHeight="1" thickBot="1">
      <c r="A41" s="476"/>
      <c r="B41" s="271"/>
      <c r="C41" s="271"/>
      <c r="D41" s="476"/>
      <c r="E41" s="269"/>
      <c r="F41" s="270"/>
      <c r="G41" s="269"/>
      <c r="H41" s="268"/>
      <c r="I41" s="268"/>
      <c r="J41" s="408"/>
      <c r="K41" s="268"/>
      <c r="L41" s="44" t="str">
        <f t="shared" si="0"/>
        <v/>
      </c>
      <c r="M41" s="182"/>
    </row>
    <row r="42" spans="1:13" ht="29.25" hidden="1" customHeight="1" thickBot="1">
      <c r="A42" s="476"/>
      <c r="B42" s="271"/>
      <c r="C42" s="271"/>
      <c r="D42" s="476"/>
      <c r="E42" s="269"/>
      <c r="F42" s="270"/>
      <c r="G42" s="269"/>
      <c r="H42" s="268"/>
      <c r="I42" s="268"/>
      <c r="J42" s="408"/>
      <c r="K42" s="268"/>
      <c r="L42" s="44" t="str">
        <f t="shared" si="0"/>
        <v/>
      </c>
      <c r="M42" s="182"/>
    </row>
    <row r="43" spans="1:13" ht="29.25" hidden="1" customHeight="1" thickBot="1">
      <c r="A43" s="476"/>
      <c r="B43" s="271"/>
      <c r="C43" s="271"/>
      <c r="D43" s="476"/>
      <c r="E43" s="269"/>
      <c r="F43" s="270"/>
      <c r="G43" s="269"/>
      <c r="H43" s="268"/>
      <c r="I43" s="268"/>
      <c r="J43" s="408"/>
      <c r="K43" s="268"/>
      <c r="L43" s="44" t="str">
        <f t="shared" si="0"/>
        <v/>
      </c>
      <c r="M43" s="182"/>
    </row>
    <row r="44" spans="1:13" ht="29.25" hidden="1" customHeight="1" thickBot="1">
      <c r="A44" s="476"/>
      <c r="B44" s="271"/>
      <c r="C44" s="271"/>
      <c r="D44" s="476"/>
      <c r="E44" s="269"/>
      <c r="F44" s="270"/>
      <c r="G44" s="269"/>
      <c r="H44" s="268"/>
      <c r="I44" s="268"/>
      <c r="J44" s="408"/>
      <c r="K44" s="268"/>
      <c r="L44" s="44" t="str">
        <f t="shared" si="0"/>
        <v/>
      </c>
      <c r="M44" s="182"/>
    </row>
    <row r="45" spans="1:13" ht="29.25" hidden="1" customHeight="1" thickBot="1">
      <c r="A45" s="476"/>
      <c r="B45" s="271"/>
      <c r="C45" s="271"/>
      <c r="D45" s="476"/>
      <c r="E45" s="269"/>
      <c r="F45" s="270"/>
      <c r="G45" s="269"/>
      <c r="H45" s="268"/>
      <c r="I45" s="268"/>
      <c r="J45" s="408"/>
      <c r="K45" s="268"/>
      <c r="L45" s="44" t="str">
        <f t="shared" si="0"/>
        <v/>
      </c>
      <c r="M45" s="182"/>
    </row>
    <row r="46" spans="1:13" ht="29.25" hidden="1" customHeight="1" thickBot="1">
      <c r="A46" s="476"/>
      <c r="B46" s="271"/>
      <c r="C46" s="271"/>
      <c r="D46" s="476"/>
      <c r="E46" s="269"/>
      <c r="F46" s="270"/>
      <c r="G46" s="269"/>
      <c r="H46" s="268"/>
      <c r="I46" s="268"/>
      <c r="J46" s="408"/>
      <c r="K46" s="268"/>
      <c r="L46" s="44" t="str">
        <f t="shared" si="0"/>
        <v/>
      </c>
      <c r="M46" s="182"/>
    </row>
    <row r="47" spans="1:13" ht="29.25" hidden="1" customHeight="1" thickBot="1">
      <c r="A47" s="476"/>
      <c r="B47" s="271"/>
      <c r="C47" s="271"/>
      <c r="D47" s="476"/>
      <c r="E47" s="269"/>
      <c r="F47" s="270"/>
      <c r="G47" s="269"/>
      <c r="H47" s="268"/>
      <c r="I47" s="268"/>
      <c r="J47" s="408"/>
      <c r="K47" s="268"/>
      <c r="L47" s="44" t="str">
        <f t="shared" si="0"/>
        <v/>
      </c>
      <c r="M47" s="182"/>
    </row>
    <row r="48" spans="1:13" ht="29.25" hidden="1" customHeight="1" thickBot="1">
      <c r="A48" s="476"/>
      <c r="B48" s="271"/>
      <c r="C48" s="271"/>
      <c r="D48" s="476"/>
      <c r="E48" s="269"/>
      <c r="F48" s="270"/>
      <c r="G48" s="269"/>
      <c r="H48" s="268"/>
      <c r="I48" s="268"/>
      <c r="J48" s="408"/>
      <c r="K48" s="268"/>
      <c r="L48" s="44" t="str">
        <f t="shared" si="0"/>
        <v/>
      </c>
      <c r="M48" s="182"/>
    </row>
    <row r="49" spans="1:13" ht="29.25" hidden="1" customHeight="1" thickBot="1">
      <c r="A49" s="476"/>
      <c r="B49" s="271"/>
      <c r="C49" s="271"/>
      <c r="D49" s="476"/>
      <c r="E49" s="269"/>
      <c r="F49" s="270"/>
      <c r="G49" s="269"/>
      <c r="H49" s="268"/>
      <c r="I49" s="268"/>
      <c r="J49" s="408"/>
      <c r="K49" s="268"/>
      <c r="L49" s="44" t="str">
        <f t="shared" si="0"/>
        <v/>
      </c>
      <c r="M49" s="182"/>
    </row>
    <row r="50" spans="1:13" ht="29.25" hidden="1" customHeight="1" thickBot="1">
      <c r="A50" s="476"/>
      <c r="B50" s="271"/>
      <c r="C50" s="271"/>
      <c r="D50" s="476"/>
      <c r="E50" s="269"/>
      <c r="F50" s="270"/>
      <c r="G50" s="269"/>
      <c r="H50" s="268"/>
      <c r="I50" s="268"/>
      <c r="J50" s="408"/>
      <c r="K50" s="268"/>
      <c r="L50" s="44" t="str">
        <f t="shared" si="0"/>
        <v/>
      </c>
      <c r="M50" s="182"/>
    </row>
    <row r="51" spans="1:13" ht="29.25" hidden="1" customHeight="1" thickBot="1">
      <c r="A51" s="476"/>
      <c r="B51" s="271"/>
      <c r="C51" s="271"/>
      <c r="D51" s="476"/>
      <c r="E51" s="269"/>
      <c r="F51" s="270"/>
      <c r="G51" s="269"/>
      <c r="H51" s="268"/>
      <c r="I51" s="268"/>
      <c r="J51" s="408"/>
      <c r="K51" s="268"/>
      <c r="L51" s="44" t="str">
        <f t="shared" si="0"/>
        <v/>
      </c>
      <c r="M51" s="182"/>
    </row>
    <row r="52" spans="1:13" ht="29.25" hidden="1" customHeight="1" thickBot="1">
      <c r="A52" s="476"/>
      <c r="B52" s="271"/>
      <c r="C52" s="271"/>
      <c r="D52" s="476"/>
      <c r="E52" s="269"/>
      <c r="F52" s="270"/>
      <c r="G52" s="269"/>
      <c r="H52" s="268"/>
      <c r="I52" s="268"/>
      <c r="J52" s="408"/>
      <c r="K52" s="268"/>
      <c r="L52" s="44" t="str">
        <f t="shared" si="0"/>
        <v/>
      </c>
      <c r="M52" s="182"/>
    </row>
    <row r="53" spans="1:13" ht="29.25" hidden="1" customHeight="1" thickBot="1">
      <c r="A53" s="476"/>
      <c r="B53" s="271"/>
      <c r="C53" s="271"/>
      <c r="D53" s="476"/>
      <c r="E53" s="269"/>
      <c r="F53" s="270"/>
      <c r="G53" s="269"/>
      <c r="H53" s="268"/>
      <c r="I53" s="268"/>
      <c r="J53" s="408"/>
      <c r="K53" s="268"/>
      <c r="L53" s="44" t="str">
        <f t="shared" si="0"/>
        <v/>
      </c>
      <c r="M53" s="182"/>
    </row>
    <row r="54" spans="1:13" ht="29.25" hidden="1" customHeight="1" thickBot="1">
      <c r="A54" s="476"/>
      <c r="B54" s="271"/>
      <c r="C54" s="271"/>
      <c r="D54" s="476"/>
      <c r="E54" s="269"/>
      <c r="F54" s="270"/>
      <c r="G54" s="269"/>
      <c r="H54" s="268"/>
      <c r="I54" s="268"/>
      <c r="J54" s="408"/>
      <c r="K54" s="268"/>
      <c r="L54" s="44" t="str">
        <f t="shared" si="0"/>
        <v/>
      </c>
      <c r="M54" s="182"/>
    </row>
    <row r="55" spans="1:13" ht="29.25" hidden="1" customHeight="1" thickBot="1">
      <c r="A55" s="476"/>
      <c r="B55" s="271"/>
      <c r="C55" s="271"/>
      <c r="D55" s="476"/>
      <c r="E55" s="269"/>
      <c r="F55" s="270"/>
      <c r="G55" s="269"/>
      <c r="H55" s="268"/>
      <c r="I55" s="268"/>
      <c r="J55" s="408"/>
      <c r="K55" s="268"/>
      <c r="L55" s="44" t="str">
        <f t="shared" si="0"/>
        <v/>
      </c>
      <c r="M55" s="182"/>
    </row>
    <row r="56" spans="1:13" ht="29.25" hidden="1" customHeight="1" thickBot="1">
      <c r="A56" s="476"/>
      <c r="B56" s="271"/>
      <c r="C56" s="271"/>
      <c r="D56" s="476"/>
      <c r="E56" s="269"/>
      <c r="F56" s="270"/>
      <c r="G56" s="269"/>
      <c r="H56" s="268"/>
      <c r="I56" s="268"/>
      <c r="J56" s="408"/>
      <c r="K56" s="268"/>
      <c r="L56" s="44" t="str">
        <f t="shared" si="0"/>
        <v/>
      </c>
      <c r="M56" s="182"/>
    </row>
    <row r="57" spans="1:13" ht="29.25" hidden="1" customHeight="1" thickBot="1">
      <c r="A57" s="476"/>
      <c r="B57" s="271"/>
      <c r="C57" s="271"/>
      <c r="D57" s="476"/>
      <c r="E57" s="269"/>
      <c r="F57" s="270"/>
      <c r="G57" s="269"/>
      <c r="H57" s="268"/>
      <c r="I57" s="268"/>
      <c r="J57" s="408"/>
      <c r="K57" s="268"/>
      <c r="L57" s="44" t="str">
        <f t="shared" si="0"/>
        <v/>
      </c>
      <c r="M57" s="182"/>
    </row>
    <row r="58" spans="1:13" ht="29.25" hidden="1" customHeight="1" thickBot="1">
      <c r="A58" s="476"/>
      <c r="B58" s="271"/>
      <c r="C58" s="271"/>
      <c r="D58" s="476"/>
      <c r="E58" s="269"/>
      <c r="F58" s="270"/>
      <c r="G58" s="269"/>
      <c r="H58" s="268"/>
      <c r="I58" s="268"/>
      <c r="J58" s="408"/>
      <c r="K58" s="268"/>
      <c r="L58" s="44" t="str">
        <f t="shared" si="0"/>
        <v/>
      </c>
      <c r="M58" s="182"/>
    </row>
    <row r="59" spans="1:13" ht="29.25" hidden="1" customHeight="1" thickBot="1">
      <c r="A59" s="476"/>
      <c r="B59" s="271"/>
      <c r="C59" s="271"/>
      <c r="D59" s="476"/>
      <c r="E59" s="269"/>
      <c r="F59" s="270"/>
      <c r="G59" s="269"/>
      <c r="H59" s="268"/>
      <c r="I59" s="268"/>
      <c r="J59" s="408"/>
      <c r="K59" s="268"/>
      <c r="L59" s="44" t="str">
        <f t="shared" si="0"/>
        <v/>
      </c>
      <c r="M59" s="182"/>
    </row>
    <row r="60" spans="1:13" ht="29.25" hidden="1" customHeight="1" thickBot="1">
      <c r="A60" s="476"/>
      <c r="B60" s="271"/>
      <c r="C60" s="271"/>
      <c r="D60" s="476"/>
      <c r="E60" s="269"/>
      <c r="F60" s="270"/>
      <c r="G60" s="269"/>
      <c r="H60" s="268"/>
      <c r="I60" s="268"/>
      <c r="J60" s="408"/>
      <c r="K60" s="268"/>
      <c r="L60" s="44" t="str">
        <f t="shared" si="0"/>
        <v/>
      </c>
      <c r="M60" s="182"/>
    </row>
    <row r="61" spans="1:13" ht="29.25" hidden="1" customHeight="1" thickBot="1">
      <c r="A61" s="476"/>
      <c r="B61" s="271"/>
      <c r="C61" s="271"/>
      <c r="D61" s="476"/>
      <c r="E61" s="269"/>
      <c r="F61" s="270"/>
      <c r="G61" s="269"/>
      <c r="H61" s="268"/>
      <c r="I61" s="268"/>
      <c r="J61" s="408"/>
      <c r="K61" s="268"/>
      <c r="L61" s="44" t="str">
        <f t="shared" si="0"/>
        <v/>
      </c>
      <c r="M61" s="182"/>
    </row>
    <row r="62" spans="1:13" ht="29.25" hidden="1" customHeight="1" thickBot="1">
      <c r="A62" s="476"/>
      <c r="B62" s="271"/>
      <c r="C62" s="271"/>
      <c r="D62" s="476"/>
      <c r="E62" s="269"/>
      <c r="F62" s="270"/>
      <c r="G62" s="269"/>
      <c r="H62" s="268"/>
      <c r="I62" s="268"/>
      <c r="J62" s="408"/>
      <c r="K62" s="268"/>
      <c r="L62" s="44" t="str">
        <f t="shared" si="0"/>
        <v/>
      </c>
      <c r="M62" s="182"/>
    </row>
    <row r="63" spans="1:13" ht="29.25" hidden="1" customHeight="1" thickBot="1">
      <c r="A63" s="476"/>
      <c r="B63" s="271"/>
      <c r="C63" s="271"/>
      <c r="D63" s="476"/>
      <c r="E63" s="269"/>
      <c r="F63" s="270"/>
      <c r="G63" s="269"/>
      <c r="H63" s="268"/>
      <c r="I63" s="268"/>
      <c r="J63" s="408"/>
      <c r="K63" s="268"/>
      <c r="L63" s="44" t="str">
        <f t="shared" si="0"/>
        <v/>
      </c>
      <c r="M63" s="182"/>
    </row>
    <row r="64" spans="1:13" ht="29.25" hidden="1" customHeight="1" thickBot="1">
      <c r="A64" s="476"/>
      <c r="B64" s="271"/>
      <c r="C64" s="271"/>
      <c r="D64" s="476"/>
      <c r="E64" s="269"/>
      <c r="F64" s="270"/>
      <c r="G64" s="269"/>
      <c r="H64" s="268"/>
      <c r="I64" s="268"/>
      <c r="J64" s="408"/>
      <c r="K64" s="268"/>
      <c r="L64" s="44" t="str">
        <f t="shared" si="0"/>
        <v/>
      </c>
      <c r="M64" s="182"/>
    </row>
    <row r="65" spans="1:13" ht="29.25" hidden="1" customHeight="1" thickBot="1">
      <c r="A65" s="476"/>
      <c r="B65" s="271"/>
      <c r="C65" s="271"/>
      <c r="D65" s="476"/>
      <c r="E65" s="269"/>
      <c r="F65" s="270"/>
      <c r="G65" s="269"/>
      <c r="H65" s="268"/>
      <c r="I65" s="268"/>
      <c r="J65" s="408"/>
      <c r="K65" s="268"/>
      <c r="L65" s="44" t="str">
        <f t="shared" si="0"/>
        <v/>
      </c>
      <c r="M65" s="182"/>
    </row>
    <row r="66" spans="1:13" ht="29.25" hidden="1" customHeight="1" thickBot="1">
      <c r="A66" s="476"/>
      <c r="B66" s="271"/>
      <c r="C66" s="271"/>
      <c r="D66" s="476"/>
      <c r="E66" s="269"/>
      <c r="F66" s="270"/>
      <c r="G66" s="269"/>
      <c r="H66" s="268"/>
      <c r="I66" s="268"/>
      <c r="J66" s="408"/>
      <c r="K66" s="268"/>
      <c r="L66" s="44" t="str">
        <f t="shared" si="0"/>
        <v/>
      </c>
      <c r="M66" s="182"/>
    </row>
    <row r="67" spans="1:13" ht="29.25" hidden="1" customHeight="1" thickBot="1">
      <c r="A67" s="476"/>
      <c r="B67" s="271"/>
      <c r="C67" s="271"/>
      <c r="D67" s="476"/>
      <c r="E67" s="269"/>
      <c r="F67" s="270"/>
      <c r="G67" s="269"/>
      <c r="H67" s="268"/>
      <c r="I67" s="268"/>
      <c r="J67" s="408"/>
      <c r="K67" s="268"/>
      <c r="L67" s="44" t="str">
        <f t="shared" si="0"/>
        <v/>
      </c>
      <c r="M67" s="182"/>
    </row>
    <row r="68" spans="1:13" ht="29.25" hidden="1" customHeight="1" thickBot="1">
      <c r="A68" s="476"/>
      <c r="B68" s="271"/>
      <c r="C68" s="271"/>
      <c r="D68" s="476"/>
      <c r="E68" s="269"/>
      <c r="F68" s="270"/>
      <c r="G68" s="269"/>
      <c r="H68" s="268"/>
      <c r="I68" s="268"/>
      <c r="J68" s="408"/>
      <c r="K68" s="268"/>
      <c r="L68" s="44" t="str">
        <f t="shared" si="0"/>
        <v/>
      </c>
      <c r="M68" s="182"/>
    </row>
    <row r="69" spans="1:13" ht="29.25" hidden="1" customHeight="1" thickBot="1">
      <c r="A69" s="476"/>
      <c r="B69" s="271"/>
      <c r="C69" s="271"/>
      <c r="D69" s="476"/>
      <c r="E69" s="269"/>
      <c r="F69" s="270"/>
      <c r="G69" s="269"/>
      <c r="H69" s="268"/>
      <c r="I69" s="268"/>
      <c r="J69" s="408"/>
      <c r="K69" s="268"/>
      <c r="L69" s="44" t="str">
        <f t="shared" si="0"/>
        <v/>
      </c>
      <c r="M69" s="182"/>
    </row>
    <row r="70" spans="1:13" ht="29.25" hidden="1" customHeight="1" thickBot="1">
      <c r="A70" s="476"/>
      <c r="B70" s="271"/>
      <c r="C70" s="271"/>
      <c r="D70" s="476"/>
      <c r="E70" s="269"/>
      <c r="F70" s="270"/>
      <c r="G70" s="269"/>
      <c r="H70" s="268"/>
      <c r="I70" s="268"/>
      <c r="J70" s="408"/>
      <c r="K70" s="268"/>
      <c r="L70" s="44" t="str">
        <f t="shared" si="0"/>
        <v/>
      </c>
      <c r="M70" s="182"/>
    </row>
    <row r="71" spans="1:13" ht="29.25" hidden="1" customHeight="1" thickBot="1">
      <c r="A71" s="476"/>
      <c r="B71" s="271"/>
      <c r="C71" s="271"/>
      <c r="D71" s="476"/>
      <c r="E71" s="269"/>
      <c r="F71" s="270"/>
      <c r="G71" s="269"/>
      <c r="H71" s="268"/>
      <c r="I71" s="268"/>
      <c r="J71" s="408"/>
      <c r="K71" s="268"/>
      <c r="L71" s="44" t="str">
        <f t="shared" si="0"/>
        <v/>
      </c>
      <c r="M71" s="182"/>
    </row>
    <row r="72" spans="1:13" ht="29.25" hidden="1" customHeight="1" thickBot="1">
      <c r="A72" s="476"/>
      <c r="B72" s="271"/>
      <c r="C72" s="271"/>
      <c r="D72" s="476"/>
      <c r="E72" s="269"/>
      <c r="F72" s="270"/>
      <c r="G72" s="269"/>
      <c r="H72" s="268"/>
      <c r="I72" s="268"/>
      <c r="J72" s="408"/>
      <c r="K72" s="268"/>
      <c r="L72" s="44" t="str">
        <f t="shared" si="0"/>
        <v/>
      </c>
      <c r="M72" s="182"/>
    </row>
    <row r="73" spans="1:13" ht="29.25" hidden="1" customHeight="1" thickBot="1">
      <c r="A73" s="476"/>
      <c r="B73" s="271"/>
      <c r="C73" s="271"/>
      <c r="D73" s="476"/>
      <c r="E73" s="269"/>
      <c r="F73" s="270"/>
      <c r="G73" s="269"/>
      <c r="H73" s="268"/>
      <c r="I73" s="268"/>
      <c r="J73" s="408"/>
      <c r="K73" s="268"/>
      <c r="L73" s="44" t="str">
        <f t="shared" si="0"/>
        <v/>
      </c>
      <c r="M73" s="182"/>
    </row>
    <row r="74" spans="1:13" ht="29.25" hidden="1" customHeight="1" thickBot="1">
      <c r="A74" s="476"/>
      <c r="B74" s="271"/>
      <c r="C74" s="271"/>
      <c r="D74" s="476"/>
      <c r="E74" s="269"/>
      <c r="F74" s="270"/>
      <c r="G74" s="269"/>
      <c r="H74" s="268"/>
      <c r="I74" s="268"/>
      <c r="J74" s="408"/>
      <c r="K74" s="268"/>
      <c r="L74" s="44" t="str">
        <f t="shared" ref="L74:L137" si="2">IF((I74+J74-K74)=0, "", (I74+J74-K74))</f>
        <v/>
      </c>
      <c r="M74" s="182"/>
    </row>
    <row r="75" spans="1:13" ht="29.25" hidden="1" customHeight="1" thickBot="1">
      <c r="A75" s="476"/>
      <c r="B75" s="271"/>
      <c r="C75" s="271"/>
      <c r="D75" s="476"/>
      <c r="E75" s="269"/>
      <c r="F75" s="270"/>
      <c r="G75" s="269"/>
      <c r="H75" s="268"/>
      <c r="I75" s="268"/>
      <c r="J75" s="408"/>
      <c r="K75" s="268"/>
      <c r="L75" s="44" t="str">
        <f t="shared" si="2"/>
        <v/>
      </c>
      <c r="M75" s="182"/>
    </row>
    <row r="76" spans="1:13" ht="29.25" hidden="1" customHeight="1" thickBot="1">
      <c r="A76" s="476"/>
      <c r="B76" s="271"/>
      <c r="C76" s="271"/>
      <c r="D76" s="476"/>
      <c r="E76" s="269"/>
      <c r="F76" s="270"/>
      <c r="G76" s="269"/>
      <c r="H76" s="268"/>
      <c r="I76" s="268"/>
      <c r="J76" s="408"/>
      <c r="K76" s="268"/>
      <c r="L76" s="44" t="str">
        <f t="shared" si="2"/>
        <v/>
      </c>
      <c r="M76" s="182"/>
    </row>
    <row r="77" spans="1:13" ht="29.25" hidden="1" customHeight="1" thickBot="1">
      <c r="A77" s="476"/>
      <c r="B77" s="271"/>
      <c r="C77" s="271"/>
      <c r="D77" s="476"/>
      <c r="E77" s="269"/>
      <c r="F77" s="270"/>
      <c r="G77" s="269"/>
      <c r="H77" s="268"/>
      <c r="I77" s="268"/>
      <c r="J77" s="408"/>
      <c r="K77" s="268"/>
      <c r="L77" s="44" t="str">
        <f t="shared" si="2"/>
        <v/>
      </c>
      <c r="M77" s="182"/>
    </row>
    <row r="78" spans="1:13" ht="29.25" hidden="1" customHeight="1" thickBot="1">
      <c r="A78" s="476"/>
      <c r="B78" s="271"/>
      <c r="C78" s="271"/>
      <c r="D78" s="476"/>
      <c r="E78" s="269"/>
      <c r="F78" s="270"/>
      <c r="G78" s="269"/>
      <c r="H78" s="268"/>
      <c r="I78" s="268"/>
      <c r="J78" s="408"/>
      <c r="K78" s="268"/>
      <c r="L78" s="44" t="str">
        <f t="shared" si="2"/>
        <v/>
      </c>
      <c r="M78" s="182"/>
    </row>
    <row r="79" spans="1:13" ht="29.25" hidden="1" customHeight="1" thickBot="1">
      <c r="A79" s="476"/>
      <c r="B79" s="271"/>
      <c r="C79" s="271"/>
      <c r="D79" s="476"/>
      <c r="E79" s="269"/>
      <c r="F79" s="270"/>
      <c r="G79" s="269"/>
      <c r="H79" s="268"/>
      <c r="I79" s="268"/>
      <c r="J79" s="408"/>
      <c r="K79" s="268"/>
      <c r="L79" s="44" t="str">
        <f t="shared" si="2"/>
        <v/>
      </c>
      <c r="M79" s="182"/>
    </row>
    <row r="80" spans="1:13" ht="29.25" hidden="1" customHeight="1" thickBot="1">
      <c r="A80" s="476"/>
      <c r="B80" s="271"/>
      <c r="C80" s="271"/>
      <c r="D80" s="476"/>
      <c r="E80" s="269"/>
      <c r="F80" s="270"/>
      <c r="G80" s="269"/>
      <c r="H80" s="268"/>
      <c r="I80" s="268"/>
      <c r="J80" s="408"/>
      <c r="K80" s="268"/>
      <c r="L80" s="44" t="str">
        <f t="shared" si="2"/>
        <v/>
      </c>
      <c r="M80" s="182"/>
    </row>
    <row r="81" spans="1:13" ht="29.25" hidden="1" customHeight="1" thickBot="1">
      <c r="A81" s="476"/>
      <c r="B81" s="271"/>
      <c r="C81" s="271"/>
      <c r="D81" s="476"/>
      <c r="E81" s="269"/>
      <c r="F81" s="270"/>
      <c r="G81" s="269"/>
      <c r="H81" s="268"/>
      <c r="I81" s="268"/>
      <c r="J81" s="408"/>
      <c r="K81" s="268"/>
      <c r="L81" s="44" t="str">
        <f t="shared" si="2"/>
        <v/>
      </c>
      <c r="M81" s="182"/>
    </row>
    <row r="82" spans="1:13" ht="29.25" hidden="1" customHeight="1" thickBot="1">
      <c r="A82" s="476"/>
      <c r="B82" s="271"/>
      <c r="C82" s="271"/>
      <c r="D82" s="476"/>
      <c r="E82" s="269"/>
      <c r="F82" s="270"/>
      <c r="G82" s="269"/>
      <c r="H82" s="268"/>
      <c r="I82" s="268"/>
      <c r="J82" s="408"/>
      <c r="K82" s="268"/>
      <c r="L82" s="44" t="str">
        <f t="shared" si="2"/>
        <v/>
      </c>
      <c r="M82" s="182"/>
    </row>
    <row r="83" spans="1:13" ht="29.25" hidden="1" customHeight="1" thickBot="1">
      <c r="A83" s="476"/>
      <c r="B83" s="271"/>
      <c r="C83" s="271"/>
      <c r="D83" s="476"/>
      <c r="E83" s="269"/>
      <c r="F83" s="270"/>
      <c r="G83" s="269"/>
      <c r="H83" s="268"/>
      <c r="I83" s="268"/>
      <c r="J83" s="408"/>
      <c r="K83" s="268"/>
      <c r="L83" s="44" t="str">
        <f t="shared" si="2"/>
        <v/>
      </c>
      <c r="M83" s="182"/>
    </row>
    <row r="84" spans="1:13" ht="29.25" hidden="1" customHeight="1" thickBot="1">
      <c r="A84" s="476"/>
      <c r="B84" s="271"/>
      <c r="C84" s="271"/>
      <c r="D84" s="476"/>
      <c r="E84" s="269"/>
      <c r="F84" s="270"/>
      <c r="G84" s="269"/>
      <c r="H84" s="268"/>
      <c r="I84" s="268"/>
      <c r="J84" s="408"/>
      <c r="K84" s="268"/>
      <c r="L84" s="44" t="str">
        <f t="shared" si="2"/>
        <v/>
      </c>
      <c r="M84" s="182"/>
    </row>
    <row r="85" spans="1:13" ht="29.25" hidden="1" customHeight="1" thickBot="1">
      <c r="A85" s="476"/>
      <c r="B85" s="271"/>
      <c r="C85" s="271"/>
      <c r="D85" s="476"/>
      <c r="E85" s="269"/>
      <c r="F85" s="270"/>
      <c r="G85" s="269"/>
      <c r="H85" s="268"/>
      <c r="I85" s="268"/>
      <c r="J85" s="408"/>
      <c r="K85" s="268"/>
      <c r="L85" s="44" t="str">
        <f t="shared" si="2"/>
        <v/>
      </c>
      <c r="M85" s="182"/>
    </row>
    <row r="86" spans="1:13" ht="29.25" hidden="1" customHeight="1" thickBot="1">
      <c r="A86" s="476"/>
      <c r="B86" s="271"/>
      <c r="C86" s="271"/>
      <c r="D86" s="476"/>
      <c r="E86" s="269"/>
      <c r="F86" s="270"/>
      <c r="G86" s="269"/>
      <c r="H86" s="268"/>
      <c r="I86" s="268"/>
      <c r="J86" s="408"/>
      <c r="K86" s="268"/>
      <c r="L86" s="44" t="str">
        <f t="shared" si="2"/>
        <v/>
      </c>
      <c r="M86" s="182"/>
    </row>
    <row r="87" spans="1:13" ht="29.25" hidden="1" customHeight="1" thickBot="1">
      <c r="A87" s="476"/>
      <c r="B87" s="271"/>
      <c r="C87" s="271"/>
      <c r="D87" s="476"/>
      <c r="E87" s="269"/>
      <c r="F87" s="270"/>
      <c r="G87" s="269"/>
      <c r="H87" s="268"/>
      <c r="I87" s="268"/>
      <c r="J87" s="408"/>
      <c r="K87" s="268"/>
      <c r="L87" s="44" t="str">
        <f t="shared" si="2"/>
        <v/>
      </c>
      <c r="M87" s="182"/>
    </row>
    <row r="88" spans="1:13" ht="29.25" hidden="1" customHeight="1" thickBot="1">
      <c r="A88" s="476"/>
      <c r="B88" s="271"/>
      <c r="C88" s="271"/>
      <c r="D88" s="476"/>
      <c r="E88" s="269"/>
      <c r="F88" s="270"/>
      <c r="G88" s="269"/>
      <c r="H88" s="268"/>
      <c r="I88" s="268"/>
      <c r="J88" s="408"/>
      <c r="K88" s="268"/>
      <c r="L88" s="44" t="str">
        <f t="shared" si="2"/>
        <v/>
      </c>
      <c r="M88" s="182"/>
    </row>
    <row r="89" spans="1:13" ht="29.25" hidden="1" customHeight="1" thickBot="1">
      <c r="A89" s="476"/>
      <c r="B89" s="271"/>
      <c r="C89" s="271"/>
      <c r="D89" s="476"/>
      <c r="E89" s="269"/>
      <c r="F89" s="270"/>
      <c r="G89" s="269"/>
      <c r="H89" s="268"/>
      <c r="I89" s="268"/>
      <c r="J89" s="408"/>
      <c r="K89" s="268"/>
      <c r="L89" s="44" t="str">
        <f t="shared" si="2"/>
        <v/>
      </c>
      <c r="M89" s="182"/>
    </row>
    <row r="90" spans="1:13" ht="29.25" hidden="1" customHeight="1" thickBot="1">
      <c r="A90" s="476"/>
      <c r="B90" s="271"/>
      <c r="C90" s="271"/>
      <c r="D90" s="476"/>
      <c r="E90" s="269"/>
      <c r="F90" s="270"/>
      <c r="G90" s="269"/>
      <c r="H90" s="268"/>
      <c r="I90" s="268"/>
      <c r="J90" s="408"/>
      <c r="K90" s="268"/>
      <c r="L90" s="44" t="str">
        <f t="shared" si="2"/>
        <v/>
      </c>
      <c r="M90" s="182"/>
    </row>
    <row r="91" spans="1:13" ht="29.25" hidden="1" customHeight="1" thickBot="1">
      <c r="A91" s="476"/>
      <c r="B91" s="271"/>
      <c r="C91" s="271"/>
      <c r="D91" s="476"/>
      <c r="E91" s="269"/>
      <c r="F91" s="270"/>
      <c r="G91" s="269"/>
      <c r="H91" s="268"/>
      <c r="I91" s="268"/>
      <c r="J91" s="408"/>
      <c r="K91" s="268"/>
      <c r="L91" s="44" t="str">
        <f t="shared" si="2"/>
        <v/>
      </c>
      <c r="M91" s="182"/>
    </row>
    <row r="92" spans="1:13" ht="29.25" hidden="1" customHeight="1" thickBot="1">
      <c r="A92" s="476"/>
      <c r="B92" s="271"/>
      <c r="C92" s="271"/>
      <c r="D92" s="476"/>
      <c r="E92" s="269"/>
      <c r="F92" s="270"/>
      <c r="G92" s="269"/>
      <c r="H92" s="268"/>
      <c r="I92" s="268"/>
      <c r="J92" s="408"/>
      <c r="K92" s="268"/>
      <c r="L92" s="44" t="str">
        <f t="shared" si="2"/>
        <v/>
      </c>
      <c r="M92" s="182"/>
    </row>
    <row r="93" spans="1:13" ht="29.25" hidden="1" customHeight="1" thickBot="1">
      <c r="A93" s="476"/>
      <c r="B93" s="271"/>
      <c r="C93" s="271"/>
      <c r="D93" s="476"/>
      <c r="E93" s="269"/>
      <c r="F93" s="270"/>
      <c r="G93" s="269"/>
      <c r="H93" s="268"/>
      <c r="I93" s="268"/>
      <c r="J93" s="408"/>
      <c r="K93" s="268"/>
      <c r="L93" s="44" t="str">
        <f t="shared" si="2"/>
        <v/>
      </c>
      <c r="M93" s="182"/>
    </row>
    <row r="94" spans="1:13" ht="29.25" hidden="1" customHeight="1" thickBot="1">
      <c r="A94" s="476"/>
      <c r="B94" s="271"/>
      <c r="C94" s="271"/>
      <c r="D94" s="476"/>
      <c r="E94" s="269"/>
      <c r="F94" s="270"/>
      <c r="G94" s="269"/>
      <c r="H94" s="268"/>
      <c r="I94" s="268"/>
      <c r="J94" s="408"/>
      <c r="K94" s="268"/>
      <c r="L94" s="44" t="str">
        <f t="shared" si="2"/>
        <v/>
      </c>
      <c r="M94" s="182"/>
    </row>
    <row r="95" spans="1:13" ht="29.25" hidden="1" customHeight="1" thickBot="1">
      <c r="A95" s="476"/>
      <c r="B95" s="271"/>
      <c r="C95" s="271"/>
      <c r="D95" s="476"/>
      <c r="E95" s="269"/>
      <c r="F95" s="270"/>
      <c r="G95" s="269"/>
      <c r="H95" s="268"/>
      <c r="I95" s="268"/>
      <c r="J95" s="408"/>
      <c r="K95" s="268"/>
      <c r="L95" s="44" t="str">
        <f t="shared" si="2"/>
        <v/>
      </c>
      <c r="M95" s="182"/>
    </row>
    <row r="96" spans="1:13" ht="29.25" hidden="1" customHeight="1" thickBot="1">
      <c r="A96" s="476"/>
      <c r="B96" s="271"/>
      <c r="C96" s="271"/>
      <c r="D96" s="476"/>
      <c r="E96" s="269"/>
      <c r="F96" s="270"/>
      <c r="G96" s="269"/>
      <c r="H96" s="268"/>
      <c r="I96" s="268"/>
      <c r="J96" s="408"/>
      <c r="K96" s="268"/>
      <c r="L96" s="44" t="str">
        <f t="shared" si="2"/>
        <v/>
      </c>
      <c r="M96" s="182"/>
    </row>
    <row r="97" spans="1:13" ht="29.25" hidden="1" customHeight="1" thickBot="1">
      <c r="A97" s="476"/>
      <c r="B97" s="271"/>
      <c r="C97" s="271"/>
      <c r="D97" s="476"/>
      <c r="E97" s="269"/>
      <c r="F97" s="270"/>
      <c r="G97" s="269"/>
      <c r="H97" s="268"/>
      <c r="I97" s="268"/>
      <c r="J97" s="408"/>
      <c r="K97" s="268"/>
      <c r="L97" s="44" t="str">
        <f t="shared" si="2"/>
        <v/>
      </c>
      <c r="M97" s="182"/>
    </row>
    <row r="98" spans="1:13" ht="29.25" hidden="1" customHeight="1" thickBot="1">
      <c r="A98" s="476"/>
      <c r="B98" s="271"/>
      <c r="C98" s="271"/>
      <c r="D98" s="476"/>
      <c r="E98" s="269"/>
      <c r="F98" s="270"/>
      <c r="G98" s="269"/>
      <c r="H98" s="268"/>
      <c r="I98" s="268"/>
      <c r="J98" s="408"/>
      <c r="K98" s="268"/>
      <c r="L98" s="44" t="str">
        <f t="shared" si="2"/>
        <v/>
      </c>
      <c r="M98" s="182"/>
    </row>
    <row r="99" spans="1:13" ht="29.25" hidden="1" customHeight="1" thickBot="1">
      <c r="A99" s="476"/>
      <c r="B99" s="271"/>
      <c r="C99" s="271"/>
      <c r="D99" s="476"/>
      <c r="E99" s="269"/>
      <c r="F99" s="270"/>
      <c r="G99" s="269"/>
      <c r="H99" s="268"/>
      <c r="I99" s="268"/>
      <c r="J99" s="408"/>
      <c r="K99" s="268"/>
      <c r="L99" s="44" t="str">
        <f t="shared" si="2"/>
        <v/>
      </c>
      <c r="M99" s="182"/>
    </row>
    <row r="100" spans="1:13" ht="29.25" hidden="1" customHeight="1" thickBot="1">
      <c r="A100" s="476"/>
      <c r="B100" s="271"/>
      <c r="C100" s="271"/>
      <c r="D100" s="476"/>
      <c r="E100" s="269"/>
      <c r="F100" s="270"/>
      <c r="G100" s="269"/>
      <c r="H100" s="268"/>
      <c r="I100" s="268"/>
      <c r="J100" s="408"/>
      <c r="K100" s="268"/>
      <c r="L100" s="44" t="str">
        <f t="shared" si="2"/>
        <v/>
      </c>
      <c r="M100" s="182"/>
    </row>
    <row r="101" spans="1:13" ht="29.25" hidden="1" customHeight="1" thickBot="1">
      <c r="A101" s="476"/>
      <c r="B101" s="271"/>
      <c r="C101" s="271"/>
      <c r="D101" s="476"/>
      <c r="E101" s="269"/>
      <c r="F101" s="270"/>
      <c r="G101" s="269"/>
      <c r="H101" s="268"/>
      <c r="I101" s="268"/>
      <c r="J101" s="408"/>
      <c r="K101" s="268"/>
      <c r="L101" s="44" t="str">
        <f t="shared" si="2"/>
        <v/>
      </c>
      <c r="M101" s="182"/>
    </row>
    <row r="102" spans="1:13" ht="29.25" hidden="1" customHeight="1" thickBot="1">
      <c r="A102" s="476"/>
      <c r="B102" s="271"/>
      <c r="C102" s="271"/>
      <c r="D102" s="476"/>
      <c r="E102" s="269"/>
      <c r="F102" s="270"/>
      <c r="G102" s="269"/>
      <c r="H102" s="268"/>
      <c r="I102" s="268"/>
      <c r="J102" s="408"/>
      <c r="K102" s="268"/>
      <c r="L102" s="44" t="str">
        <f t="shared" si="2"/>
        <v/>
      </c>
      <c r="M102" s="182"/>
    </row>
    <row r="103" spans="1:13" ht="29.25" hidden="1" customHeight="1" thickBot="1">
      <c r="A103" s="476"/>
      <c r="B103" s="271"/>
      <c r="C103" s="271"/>
      <c r="D103" s="476"/>
      <c r="E103" s="269"/>
      <c r="F103" s="270"/>
      <c r="G103" s="269"/>
      <c r="H103" s="268"/>
      <c r="I103" s="268"/>
      <c r="J103" s="408"/>
      <c r="K103" s="268"/>
      <c r="L103" s="44" t="str">
        <f t="shared" si="2"/>
        <v/>
      </c>
      <c r="M103" s="182"/>
    </row>
    <row r="104" spans="1:13" ht="29.25" hidden="1" customHeight="1" thickBot="1">
      <c r="A104" s="476"/>
      <c r="B104" s="271"/>
      <c r="C104" s="271"/>
      <c r="D104" s="476"/>
      <c r="E104" s="269"/>
      <c r="F104" s="270"/>
      <c r="G104" s="269"/>
      <c r="H104" s="268"/>
      <c r="I104" s="268"/>
      <c r="J104" s="408"/>
      <c r="K104" s="268"/>
      <c r="L104" s="44" t="str">
        <f t="shared" si="2"/>
        <v/>
      </c>
      <c r="M104" s="182"/>
    </row>
    <row r="105" spans="1:13" ht="29.25" hidden="1" customHeight="1" thickBot="1">
      <c r="A105" s="476"/>
      <c r="B105" s="271"/>
      <c r="C105" s="271"/>
      <c r="D105" s="476"/>
      <c r="E105" s="269"/>
      <c r="F105" s="270"/>
      <c r="G105" s="269"/>
      <c r="H105" s="268"/>
      <c r="I105" s="268"/>
      <c r="J105" s="408"/>
      <c r="K105" s="268"/>
      <c r="L105" s="44" t="str">
        <f t="shared" si="2"/>
        <v/>
      </c>
      <c r="M105" s="182"/>
    </row>
    <row r="106" spans="1:13" ht="29.25" hidden="1" customHeight="1" thickBot="1">
      <c r="A106" s="476"/>
      <c r="B106" s="271"/>
      <c r="C106" s="271"/>
      <c r="D106" s="476"/>
      <c r="E106" s="269"/>
      <c r="F106" s="270"/>
      <c r="G106" s="269"/>
      <c r="H106" s="268"/>
      <c r="I106" s="268"/>
      <c r="J106" s="408"/>
      <c r="K106" s="268"/>
      <c r="L106" s="44" t="str">
        <f t="shared" si="2"/>
        <v/>
      </c>
      <c r="M106" s="182"/>
    </row>
    <row r="107" spans="1:13" ht="29.25" hidden="1" customHeight="1" thickBot="1">
      <c r="A107" s="476"/>
      <c r="B107" s="271"/>
      <c r="C107" s="271"/>
      <c r="D107" s="476"/>
      <c r="E107" s="269"/>
      <c r="F107" s="270"/>
      <c r="G107" s="269"/>
      <c r="H107" s="268"/>
      <c r="I107" s="268"/>
      <c r="J107" s="408"/>
      <c r="K107" s="268"/>
      <c r="L107" s="44" t="str">
        <f t="shared" si="2"/>
        <v/>
      </c>
      <c r="M107" s="182"/>
    </row>
    <row r="108" spans="1:13" ht="29.25" hidden="1" customHeight="1" thickBot="1">
      <c r="A108" s="476"/>
      <c r="B108" s="271"/>
      <c r="C108" s="271"/>
      <c r="D108" s="476"/>
      <c r="E108" s="269"/>
      <c r="F108" s="270"/>
      <c r="G108" s="269"/>
      <c r="H108" s="268"/>
      <c r="I108" s="268"/>
      <c r="J108" s="408"/>
      <c r="K108" s="268"/>
      <c r="L108" s="44" t="str">
        <f t="shared" si="2"/>
        <v/>
      </c>
      <c r="M108" s="182"/>
    </row>
    <row r="109" spans="1:13" ht="29.25" hidden="1" customHeight="1" thickBot="1">
      <c r="A109" s="476"/>
      <c r="B109" s="271"/>
      <c r="C109" s="271"/>
      <c r="D109" s="476"/>
      <c r="E109" s="269"/>
      <c r="F109" s="270"/>
      <c r="G109" s="269"/>
      <c r="H109" s="268"/>
      <c r="I109" s="268"/>
      <c r="J109" s="408"/>
      <c r="K109" s="268"/>
      <c r="L109" s="44" t="str">
        <f t="shared" si="2"/>
        <v/>
      </c>
      <c r="M109" s="182"/>
    </row>
    <row r="110" spans="1:13" ht="29.25" hidden="1" customHeight="1" thickBot="1">
      <c r="A110" s="476"/>
      <c r="B110" s="271"/>
      <c r="C110" s="271"/>
      <c r="D110" s="476"/>
      <c r="E110" s="269"/>
      <c r="F110" s="270"/>
      <c r="G110" s="269"/>
      <c r="H110" s="268"/>
      <c r="I110" s="268"/>
      <c r="J110" s="408"/>
      <c r="K110" s="268"/>
      <c r="L110" s="44" t="str">
        <f t="shared" si="2"/>
        <v/>
      </c>
      <c r="M110" s="182"/>
    </row>
    <row r="111" spans="1:13" ht="29.25" hidden="1" customHeight="1" thickBot="1">
      <c r="A111" s="476"/>
      <c r="B111" s="271"/>
      <c r="C111" s="271"/>
      <c r="D111" s="476"/>
      <c r="E111" s="269"/>
      <c r="F111" s="270"/>
      <c r="G111" s="269"/>
      <c r="H111" s="268"/>
      <c r="I111" s="268"/>
      <c r="J111" s="408"/>
      <c r="K111" s="268"/>
      <c r="L111" s="44" t="str">
        <f t="shared" si="2"/>
        <v/>
      </c>
      <c r="M111" s="182"/>
    </row>
    <row r="112" spans="1:13" ht="29.25" hidden="1" customHeight="1" thickBot="1">
      <c r="A112" s="476"/>
      <c r="B112" s="271"/>
      <c r="C112" s="271"/>
      <c r="D112" s="476"/>
      <c r="E112" s="269"/>
      <c r="F112" s="270"/>
      <c r="G112" s="269"/>
      <c r="H112" s="268"/>
      <c r="I112" s="268"/>
      <c r="J112" s="408"/>
      <c r="K112" s="268"/>
      <c r="L112" s="44" t="str">
        <f t="shared" si="2"/>
        <v/>
      </c>
      <c r="M112" s="182"/>
    </row>
    <row r="113" spans="1:13" ht="29.25" hidden="1" customHeight="1" thickBot="1">
      <c r="A113" s="476"/>
      <c r="B113" s="271"/>
      <c r="C113" s="271"/>
      <c r="D113" s="476"/>
      <c r="E113" s="269"/>
      <c r="F113" s="270"/>
      <c r="G113" s="269"/>
      <c r="H113" s="268"/>
      <c r="I113" s="268"/>
      <c r="J113" s="408"/>
      <c r="K113" s="268"/>
      <c r="L113" s="44" t="str">
        <f t="shared" si="2"/>
        <v/>
      </c>
      <c r="M113" s="182"/>
    </row>
    <row r="114" spans="1:13" ht="29.25" hidden="1" customHeight="1" thickBot="1">
      <c r="A114" s="476"/>
      <c r="B114" s="271"/>
      <c r="C114" s="271"/>
      <c r="D114" s="476"/>
      <c r="E114" s="269"/>
      <c r="F114" s="270"/>
      <c r="G114" s="269"/>
      <c r="H114" s="268"/>
      <c r="I114" s="268"/>
      <c r="J114" s="408"/>
      <c r="K114" s="268"/>
      <c r="L114" s="44" t="str">
        <f t="shared" si="2"/>
        <v/>
      </c>
      <c r="M114" s="182"/>
    </row>
    <row r="115" spans="1:13" ht="29.25" hidden="1" customHeight="1" thickBot="1">
      <c r="A115" s="476"/>
      <c r="B115" s="271"/>
      <c r="C115" s="271"/>
      <c r="D115" s="476"/>
      <c r="E115" s="269"/>
      <c r="F115" s="270"/>
      <c r="G115" s="269"/>
      <c r="H115" s="268"/>
      <c r="I115" s="268"/>
      <c r="J115" s="408"/>
      <c r="K115" s="268"/>
      <c r="L115" s="44" t="str">
        <f t="shared" si="2"/>
        <v/>
      </c>
      <c r="M115" s="182"/>
    </row>
    <row r="116" spans="1:13" ht="29.25" hidden="1" customHeight="1" thickBot="1">
      <c r="A116" s="476"/>
      <c r="B116" s="271"/>
      <c r="C116" s="271"/>
      <c r="D116" s="476"/>
      <c r="E116" s="269"/>
      <c r="F116" s="270"/>
      <c r="G116" s="269"/>
      <c r="H116" s="268"/>
      <c r="I116" s="268"/>
      <c r="J116" s="408"/>
      <c r="K116" s="268"/>
      <c r="L116" s="44" t="str">
        <f t="shared" si="2"/>
        <v/>
      </c>
      <c r="M116" s="182"/>
    </row>
    <row r="117" spans="1:13" ht="29.25" hidden="1" customHeight="1" thickBot="1">
      <c r="A117" s="476"/>
      <c r="B117" s="271"/>
      <c r="C117" s="271"/>
      <c r="D117" s="476"/>
      <c r="E117" s="269"/>
      <c r="F117" s="270"/>
      <c r="G117" s="269"/>
      <c r="H117" s="268"/>
      <c r="I117" s="268"/>
      <c r="J117" s="408"/>
      <c r="K117" s="268"/>
      <c r="L117" s="44" t="str">
        <f t="shared" si="2"/>
        <v/>
      </c>
      <c r="M117" s="182"/>
    </row>
    <row r="118" spans="1:13" ht="29.25" hidden="1" customHeight="1" thickBot="1">
      <c r="A118" s="476"/>
      <c r="B118" s="271"/>
      <c r="C118" s="271"/>
      <c r="D118" s="476"/>
      <c r="E118" s="269"/>
      <c r="F118" s="270"/>
      <c r="G118" s="269"/>
      <c r="H118" s="268"/>
      <c r="I118" s="268"/>
      <c r="J118" s="408"/>
      <c r="K118" s="268"/>
      <c r="L118" s="44" t="str">
        <f t="shared" si="2"/>
        <v/>
      </c>
      <c r="M118" s="182"/>
    </row>
    <row r="119" spans="1:13" ht="29.25" hidden="1" customHeight="1" thickBot="1">
      <c r="A119" s="476"/>
      <c r="B119" s="271"/>
      <c r="C119" s="271"/>
      <c r="D119" s="476"/>
      <c r="E119" s="269"/>
      <c r="F119" s="270"/>
      <c r="G119" s="269"/>
      <c r="H119" s="268"/>
      <c r="I119" s="268"/>
      <c r="J119" s="408"/>
      <c r="K119" s="268"/>
      <c r="L119" s="44" t="str">
        <f t="shared" si="2"/>
        <v/>
      </c>
      <c r="M119" s="182"/>
    </row>
    <row r="120" spans="1:13" ht="29.25" hidden="1" customHeight="1" thickBot="1">
      <c r="A120" s="476"/>
      <c r="B120" s="271"/>
      <c r="C120" s="271"/>
      <c r="D120" s="476"/>
      <c r="E120" s="269"/>
      <c r="F120" s="270"/>
      <c r="G120" s="269"/>
      <c r="H120" s="268"/>
      <c r="I120" s="268"/>
      <c r="J120" s="408"/>
      <c r="K120" s="268"/>
      <c r="L120" s="44" t="str">
        <f t="shared" si="2"/>
        <v/>
      </c>
      <c r="M120" s="182"/>
    </row>
    <row r="121" spans="1:13" ht="29.25" hidden="1" customHeight="1" thickBot="1">
      <c r="A121" s="476"/>
      <c r="B121" s="271"/>
      <c r="C121" s="271"/>
      <c r="D121" s="476"/>
      <c r="E121" s="269"/>
      <c r="F121" s="270"/>
      <c r="G121" s="269"/>
      <c r="H121" s="268"/>
      <c r="I121" s="268"/>
      <c r="J121" s="408"/>
      <c r="K121" s="268"/>
      <c r="L121" s="44" t="str">
        <f t="shared" si="2"/>
        <v/>
      </c>
      <c r="M121" s="182"/>
    </row>
    <row r="122" spans="1:13" ht="29.25" hidden="1" customHeight="1" thickBot="1">
      <c r="A122" s="476"/>
      <c r="B122" s="271"/>
      <c r="C122" s="271"/>
      <c r="D122" s="476"/>
      <c r="E122" s="269"/>
      <c r="F122" s="270"/>
      <c r="G122" s="269"/>
      <c r="H122" s="268"/>
      <c r="I122" s="268"/>
      <c r="J122" s="408"/>
      <c r="K122" s="268"/>
      <c r="L122" s="44" t="str">
        <f t="shared" si="2"/>
        <v/>
      </c>
      <c r="M122" s="182"/>
    </row>
    <row r="123" spans="1:13" ht="29.25" hidden="1" customHeight="1" thickBot="1">
      <c r="A123" s="476"/>
      <c r="B123" s="271"/>
      <c r="C123" s="271"/>
      <c r="D123" s="476"/>
      <c r="E123" s="269"/>
      <c r="F123" s="270"/>
      <c r="G123" s="269"/>
      <c r="H123" s="268"/>
      <c r="I123" s="268"/>
      <c r="J123" s="408"/>
      <c r="K123" s="268"/>
      <c r="L123" s="44" t="str">
        <f t="shared" si="2"/>
        <v/>
      </c>
      <c r="M123" s="182"/>
    </row>
    <row r="124" spans="1:13" ht="29.25" hidden="1" customHeight="1" thickBot="1">
      <c r="A124" s="476"/>
      <c r="B124" s="271"/>
      <c r="C124" s="271"/>
      <c r="D124" s="476"/>
      <c r="E124" s="269"/>
      <c r="F124" s="270"/>
      <c r="G124" s="269"/>
      <c r="H124" s="268"/>
      <c r="I124" s="268"/>
      <c r="J124" s="408"/>
      <c r="K124" s="268"/>
      <c r="L124" s="44" t="str">
        <f t="shared" si="2"/>
        <v/>
      </c>
      <c r="M124" s="182"/>
    </row>
    <row r="125" spans="1:13" ht="29.25" hidden="1" customHeight="1" thickBot="1">
      <c r="A125" s="476"/>
      <c r="B125" s="271"/>
      <c r="C125" s="271"/>
      <c r="D125" s="476"/>
      <c r="E125" s="269"/>
      <c r="F125" s="270"/>
      <c r="G125" s="269"/>
      <c r="H125" s="268"/>
      <c r="I125" s="268"/>
      <c r="J125" s="408"/>
      <c r="K125" s="268"/>
      <c r="L125" s="44" t="str">
        <f t="shared" si="2"/>
        <v/>
      </c>
      <c r="M125" s="182"/>
    </row>
    <row r="126" spans="1:13" ht="29.25" hidden="1" customHeight="1" thickBot="1">
      <c r="A126" s="476"/>
      <c r="B126" s="271"/>
      <c r="C126" s="271"/>
      <c r="D126" s="476"/>
      <c r="E126" s="269"/>
      <c r="F126" s="270"/>
      <c r="G126" s="269"/>
      <c r="H126" s="268"/>
      <c r="I126" s="268"/>
      <c r="J126" s="408"/>
      <c r="K126" s="268"/>
      <c r="L126" s="44" t="str">
        <f t="shared" si="2"/>
        <v/>
      </c>
      <c r="M126" s="182"/>
    </row>
    <row r="127" spans="1:13" ht="29.25" hidden="1" customHeight="1" thickBot="1">
      <c r="A127" s="476"/>
      <c r="B127" s="271"/>
      <c r="C127" s="271"/>
      <c r="D127" s="476"/>
      <c r="E127" s="269"/>
      <c r="F127" s="270"/>
      <c r="G127" s="269"/>
      <c r="H127" s="268"/>
      <c r="I127" s="268"/>
      <c r="J127" s="408"/>
      <c r="K127" s="268"/>
      <c r="L127" s="44" t="str">
        <f t="shared" si="2"/>
        <v/>
      </c>
      <c r="M127" s="182"/>
    </row>
    <row r="128" spans="1:13" ht="29.25" hidden="1" customHeight="1" thickBot="1">
      <c r="A128" s="476"/>
      <c r="B128" s="271"/>
      <c r="C128" s="271"/>
      <c r="D128" s="476"/>
      <c r="E128" s="269"/>
      <c r="F128" s="270"/>
      <c r="G128" s="269"/>
      <c r="H128" s="268"/>
      <c r="I128" s="268"/>
      <c r="J128" s="408"/>
      <c r="K128" s="268"/>
      <c r="L128" s="44" t="str">
        <f t="shared" si="2"/>
        <v/>
      </c>
      <c r="M128" s="182"/>
    </row>
    <row r="129" spans="1:13" ht="29.25" hidden="1" customHeight="1" thickBot="1">
      <c r="A129" s="476"/>
      <c r="B129" s="271"/>
      <c r="C129" s="271"/>
      <c r="D129" s="476"/>
      <c r="E129" s="269"/>
      <c r="F129" s="270"/>
      <c r="G129" s="269"/>
      <c r="H129" s="268"/>
      <c r="I129" s="268"/>
      <c r="J129" s="408"/>
      <c r="K129" s="268"/>
      <c r="L129" s="44" t="str">
        <f t="shared" si="2"/>
        <v/>
      </c>
      <c r="M129" s="182"/>
    </row>
    <row r="130" spans="1:13" ht="29.25" hidden="1" customHeight="1" thickBot="1">
      <c r="A130" s="476"/>
      <c r="B130" s="271"/>
      <c r="C130" s="271"/>
      <c r="D130" s="476"/>
      <c r="E130" s="269"/>
      <c r="F130" s="270"/>
      <c r="G130" s="269"/>
      <c r="H130" s="268"/>
      <c r="I130" s="268"/>
      <c r="J130" s="408"/>
      <c r="K130" s="268"/>
      <c r="L130" s="44" t="str">
        <f t="shared" si="2"/>
        <v/>
      </c>
      <c r="M130" s="182"/>
    </row>
    <row r="131" spans="1:13" ht="29.25" hidden="1" customHeight="1" thickBot="1">
      <c r="A131" s="476"/>
      <c r="B131" s="271"/>
      <c r="C131" s="271"/>
      <c r="D131" s="476"/>
      <c r="E131" s="269"/>
      <c r="F131" s="270"/>
      <c r="G131" s="269"/>
      <c r="H131" s="268"/>
      <c r="I131" s="268"/>
      <c r="J131" s="408"/>
      <c r="K131" s="268"/>
      <c r="L131" s="44" t="str">
        <f t="shared" si="2"/>
        <v/>
      </c>
      <c r="M131" s="182"/>
    </row>
    <row r="132" spans="1:13" ht="29.25" hidden="1" customHeight="1" thickBot="1">
      <c r="A132" s="476"/>
      <c r="B132" s="271"/>
      <c r="C132" s="271"/>
      <c r="D132" s="476"/>
      <c r="E132" s="269"/>
      <c r="F132" s="270"/>
      <c r="G132" s="269"/>
      <c r="H132" s="268"/>
      <c r="I132" s="268"/>
      <c r="J132" s="408"/>
      <c r="K132" s="268"/>
      <c r="L132" s="44" t="str">
        <f t="shared" si="2"/>
        <v/>
      </c>
      <c r="M132" s="182"/>
    </row>
    <row r="133" spans="1:13" ht="29.25" hidden="1" customHeight="1" thickBot="1">
      <c r="A133" s="476"/>
      <c r="B133" s="271"/>
      <c r="C133" s="271"/>
      <c r="D133" s="476"/>
      <c r="E133" s="269"/>
      <c r="F133" s="270"/>
      <c r="G133" s="269"/>
      <c r="H133" s="268"/>
      <c r="I133" s="268"/>
      <c r="J133" s="408"/>
      <c r="K133" s="268"/>
      <c r="L133" s="44" t="str">
        <f t="shared" si="2"/>
        <v/>
      </c>
      <c r="M133" s="182"/>
    </row>
    <row r="134" spans="1:13" ht="29.25" hidden="1" customHeight="1" thickBot="1">
      <c r="A134" s="476"/>
      <c r="B134" s="271"/>
      <c r="C134" s="271"/>
      <c r="D134" s="476"/>
      <c r="E134" s="269"/>
      <c r="F134" s="270"/>
      <c r="G134" s="269"/>
      <c r="H134" s="268"/>
      <c r="I134" s="268"/>
      <c r="J134" s="408"/>
      <c r="K134" s="268"/>
      <c r="L134" s="44" t="str">
        <f t="shared" si="2"/>
        <v/>
      </c>
      <c r="M134" s="182"/>
    </row>
    <row r="135" spans="1:13" ht="29.25" hidden="1" customHeight="1" thickBot="1">
      <c r="A135" s="476"/>
      <c r="B135" s="271"/>
      <c r="C135" s="271"/>
      <c r="D135" s="476"/>
      <c r="E135" s="269"/>
      <c r="F135" s="270"/>
      <c r="G135" s="269"/>
      <c r="H135" s="268"/>
      <c r="I135" s="268"/>
      <c r="J135" s="408"/>
      <c r="K135" s="268"/>
      <c r="L135" s="44" t="str">
        <f t="shared" si="2"/>
        <v/>
      </c>
      <c r="M135" s="182"/>
    </row>
    <row r="136" spans="1:13" ht="29.25" hidden="1" customHeight="1" thickBot="1">
      <c r="A136" s="476"/>
      <c r="B136" s="271"/>
      <c r="C136" s="271"/>
      <c r="D136" s="476"/>
      <c r="E136" s="269"/>
      <c r="F136" s="270"/>
      <c r="G136" s="269"/>
      <c r="H136" s="268"/>
      <c r="I136" s="268"/>
      <c r="J136" s="408"/>
      <c r="K136" s="268"/>
      <c r="L136" s="44" t="str">
        <f t="shared" si="2"/>
        <v/>
      </c>
      <c r="M136" s="182"/>
    </row>
    <row r="137" spans="1:13" ht="29.25" hidden="1" customHeight="1" thickBot="1">
      <c r="A137" s="476"/>
      <c r="B137" s="271"/>
      <c r="C137" s="271"/>
      <c r="D137" s="476"/>
      <c r="E137" s="269"/>
      <c r="F137" s="270"/>
      <c r="G137" s="269"/>
      <c r="H137" s="268"/>
      <c r="I137" s="268"/>
      <c r="J137" s="408"/>
      <c r="K137" s="268"/>
      <c r="L137" s="44" t="str">
        <f t="shared" si="2"/>
        <v/>
      </c>
      <c r="M137" s="182"/>
    </row>
    <row r="138" spans="1:13" ht="29.25" hidden="1" customHeight="1" thickBot="1">
      <c r="A138" s="476"/>
      <c r="B138" s="271"/>
      <c r="C138" s="271"/>
      <c r="D138" s="476"/>
      <c r="E138" s="269"/>
      <c r="F138" s="270"/>
      <c r="G138" s="269"/>
      <c r="H138" s="268"/>
      <c r="I138" s="268"/>
      <c r="J138" s="408"/>
      <c r="K138" s="268"/>
      <c r="L138" s="44" t="str">
        <f t="shared" ref="L138:L201" si="3">IF((I138+J138-K138)=0, "", (I138+J138-K138))</f>
        <v/>
      </c>
      <c r="M138" s="182"/>
    </row>
    <row r="139" spans="1:13" ht="29.25" hidden="1" customHeight="1" thickBot="1">
      <c r="A139" s="476"/>
      <c r="B139" s="271"/>
      <c r="C139" s="271"/>
      <c r="D139" s="476"/>
      <c r="E139" s="269"/>
      <c r="F139" s="270"/>
      <c r="G139" s="269"/>
      <c r="H139" s="268"/>
      <c r="I139" s="268"/>
      <c r="J139" s="408"/>
      <c r="K139" s="268"/>
      <c r="L139" s="44" t="str">
        <f t="shared" si="3"/>
        <v/>
      </c>
      <c r="M139" s="182"/>
    </row>
    <row r="140" spans="1:13" ht="29.25" hidden="1" customHeight="1" thickBot="1">
      <c r="A140" s="476"/>
      <c r="B140" s="271"/>
      <c r="C140" s="271"/>
      <c r="D140" s="476"/>
      <c r="E140" s="269"/>
      <c r="F140" s="270"/>
      <c r="G140" s="269"/>
      <c r="H140" s="268"/>
      <c r="I140" s="268"/>
      <c r="J140" s="408"/>
      <c r="K140" s="268"/>
      <c r="L140" s="44" t="str">
        <f t="shared" si="3"/>
        <v/>
      </c>
      <c r="M140" s="182"/>
    </row>
    <row r="141" spans="1:13" ht="29.25" hidden="1" customHeight="1" thickBot="1">
      <c r="A141" s="476"/>
      <c r="B141" s="271"/>
      <c r="C141" s="271"/>
      <c r="D141" s="476"/>
      <c r="E141" s="269"/>
      <c r="F141" s="270"/>
      <c r="G141" s="269"/>
      <c r="H141" s="268"/>
      <c r="I141" s="268"/>
      <c r="J141" s="408"/>
      <c r="K141" s="268"/>
      <c r="L141" s="44" t="str">
        <f t="shared" si="3"/>
        <v/>
      </c>
      <c r="M141" s="182"/>
    </row>
    <row r="142" spans="1:13" ht="29.25" hidden="1" customHeight="1" thickBot="1">
      <c r="A142" s="476"/>
      <c r="B142" s="271"/>
      <c r="C142" s="271"/>
      <c r="D142" s="476"/>
      <c r="E142" s="269"/>
      <c r="F142" s="270"/>
      <c r="G142" s="269"/>
      <c r="H142" s="268"/>
      <c r="I142" s="268"/>
      <c r="J142" s="408"/>
      <c r="K142" s="268"/>
      <c r="L142" s="44" t="str">
        <f t="shared" si="3"/>
        <v/>
      </c>
      <c r="M142" s="182"/>
    </row>
    <row r="143" spans="1:13" ht="29.25" hidden="1" customHeight="1" thickBot="1">
      <c r="A143" s="476"/>
      <c r="B143" s="271"/>
      <c r="C143" s="271"/>
      <c r="D143" s="476"/>
      <c r="E143" s="269"/>
      <c r="F143" s="270"/>
      <c r="G143" s="269"/>
      <c r="H143" s="268"/>
      <c r="I143" s="268"/>
      <c r="J143" s="408"/>
      <c r="K143" s="268"/>
      <c r="L143" s="44" t="str">
        <f t="shared" si="3"/>
        <v/>
      </c>
      <c r="M143" s="182"/>
    </row>
    <row r="144" spans="1:13" ht="29.25" hidden="1" customHeight="1" thickBot="1">
      <c r="A144" s="476"/>
      <c r="B144" s="271"/>
      <c r="C144" s="271"/>
      <c r="D144" s="476"/>
      <c r="E144" s="269"/>
      <c r="F144" s="270"/>
      <c r="G144" s="269"/>
      <c r="H144" s="268"/>
      <c r="I144" s="268"/>
      <c r="J144" s="408"/>
      <c r="K144" s="268"/>
      <c r="L144" s="44" t="str">
        <f t="shared" si="3"/>
        <v/>
      </c>
      <c r="M144" s="182"/>
    </row>
    <row r="145" spans="1:13" ht="29.25" hidden="1" customHeight="1" thickBot="1">
      <c r="A145" s="476"/>
      <c r="B145" s="271"/>
      <c r="C145" s="271"/>
      <c r="D145" s="476"/>
      <c r="E145" s="269"/>
      <c r="F145" s="270"/>
      <c r="G145" s="269"/>
      <c r="H145" s="268"/>
      <c r="I145" s="268"/>
      <c r="J145" s="408"/>
      <c r="K145" s="268"/>
      <c r="L145" s="44" t="str">
        <f t="shared" si="3"/>
        <v/>
      </c>
      <c r="M145" s="182"/>
    </row>
    <row r="146" spans="1:13" ht="29.25" hidden="1" customHeight="1" thickBot="1">
      <c r="A146" s="476"/>
      <c r="B146" s="271"/>
      <c r="C146" s="271"/>
      <c r="D146" s="476"/>
      <c r="E146" s="269"/>
      <c r="F146" s="270"/>
      <c r="G146" s="269"/>
      <c r="H146" s="268"/>
      <c r="I146" s="268"/>
      <c r="J146" s="408"/>
      <c r="K146" s="268"/>
      <c r="L146" s="44" t="str">
        <f t="shared" si="3"/>
        <v/>
      </c>
      <c r="M146" s="182"/>
    </row>
    <row r="147" spans="1:13" ht="29.25" hidden="1" customHeight="1" thickBot="1">
      <c r="A147" s="476"/>
      <c r="B147" s="271"/>
      <c r="C147" s="271"/>
      <c r="D147" s="476"/>
      <c r="E147" s="269"/>
      <c r="F147" s="270"/>
      <c r="G147" s="269"/>
      <c r="H147" s="268"/>
      <c r="I147" s="268"/>
      <c r="J147" s="408"/>
      <c r="K147" s="268"/>
      <c r="L147" s="44" t="str">
        <f t="shared" si="3"/>
        <v/>
      </c>
      <c r="M147" s="182"/>
    </row>
    <row r="148" spans="1:13" ht="29.25" hidden="1" customHeight="1" thickBot="1">
      <c r="A148" s="476"/>
      <c r="B148" s="271"/>
      <c r="C148" s="271"/>
      <c r="D148" s="476"/>
      <c r="E148" s="269"/>
      <c r="F148" s="270"/>
      <c r="G148" s="269"/>
      <c r="H148" s="268"/>
      <c r="I148" s="268"/>
      <c r="J148" s="408"/>
      <c r="K148" s="268"/>
      <c r="L148" s="44" t="str">
        <f t="shared" si="3"/>
        <v/>
      </c>
      <c r="M148" s="182"/>
    </row>
    <row r="149" spans="1:13" ht="29.25" hidden="1" customHeight="1" thickBot="1">
      <c r="A149" s="476"/>
      <c r="B149" s="271"/>
      <c r="C149" s="271"/>
      <c r="D149" s="476"/>
      <c r="E149" s="269"/>
      <c r="F149" s="270"/>
      <c r="G149" s="269"/>
      <c r="H149" s="268"/>
      <c r="I149" s="268"/>
      <c r="J149" s="408"/>
      <c r="K149" s="268"/>
      <c r="L149" s="44" t="str">
        <f t="shared" si="3"/>
        <v/>
      </c>
      <c r="M149" s="182"/>
    </row>
    <row r="150" spans="1:13" ht="29.25" hidden="1" customHeight="1" thickBot="1">
      <c r="A150" s="476"/>
      <c r="B150" s="271"/>
      <c r="C150" s="271"/>
      <c r="D150" s="476"/>
      <c r="E150" s="269"/>
      <c r="F150" s="270"/>
      <c r="G150" s="269"/>
      <c r="H150" s="268"/>
      <c r="I150" s="268"/>
      <c r="J150" s="408"/>
      <c r="K150" s="268"/>
      <c r="L150" s="44" t="str">
        <f t="shared" si="3"/>
        <v/>
      </c>
      <c r="M150" s="182"/>
    </row>
    <row r="151" spans="1:13" ht="29.25" hidden="1" customHeight="1" thickBot="1">
      <c r="A151" s="476"/>
      <c r="B151" s="271"/>
      <c r="C151" s="271"/>
      <c r="D151" s="476"/>
      <c r="E151" s="269"/>
      <c r="F151" s="270"/>
      <c r="G151" s="269"/>
      <c r="H151" s="268"/>
      <c r="I151" s="268"/>
      <c r="J151" s="408"/>
      <c r="K151" s="268"/>
      <c r="L151" s="44" t="str">
        <f t="shared" si="3"/>
        <v/>
      </c>
      <c r="M151" s="182"/>
    </row>
    <row r="152" spans="1:13" ht="29.25" hidden="1" customHeight="1" thickBot="1">
      <c r="A152" s="476"/>
      <c r="B152" s="271"/>
      <c r="C152" s="271"/>
      <c r="D152" s="476"/>
      <c r="E152" s="269"/>
      <c r="F152" s="270"/>
      <c r="G152" s="269"/>
      <c r="H152" s="268"/>
      <c r="I152" s="268"/>
      <c r="J152" s="408"/>
      <c r="K152" s="268"/>
      <c r="L152" s="44" t="str">
        <f t="shared" si="3"/>
        <v/>
      </c>
      <c r="M152" s="182"/>
    </row>
    <row r="153" spans="1:13" ht="29.25" hidden="1" customHeight="1" thickBot="1">
      <c r="A153" s="476"/>
      <c r="B153" s="271"/>
      <c r="C153" s="271"/>
      <c r="D153" s="476"/>
      <c r="E153" s="269"/>
      <c r="F153" s="270"/>
      <c r="G153" s="269"/>
      <c r="H153" s="268"/>
      <c r="I153" s="268"/>
      <c r="J153" s="408"/>
      <c r="K153" s="268"/>
      <c r="L153" s="44" t="str">
        <f t="shared" si="3"/>
        <v/>
      </c>
      <c r="M153" s="182"/>
    </row>
    <row r="154" spans="1:13" ht="29.25" hidden="1" customHeight="1" thickBot="1">
      <c r="A154" s="476"/>
      <c r="B154" s="271"/>
      <c r="C154" s="271"/>
      <c r="D154" s="476"/>
      <c r="E154" s="269"/>
      <c r="F154" s="270"/>
      <c r="G154" s="269"/>
      <c r="H154" s="268"/>
      <c r="I154" s="268"/>
      <c r="J154" s="408"/>
      <c r="K154" s="268"/>
      <c r="L154" s="44" t="str">
        <f t="shared" si="3"/>
        <v/>
      </c>
      <c r="M154" s="182"/>
    </row>
    <row r="155" spans="1:13" ht="29.25" hidden="1" customHeight="1" thickBot="1">
      <c r="A155" s="476"/>
      <c r="B155" s="271"/>
      <c r="C155" s="271"/>
      <c r="D155" s="476"/>
      <c r="E155" s="269"/>
      <c r="F155" s="270"/>
      <c r="G155" s="269"/>
      <c r="H155" s="268"/>
      <c r="I155" s="268"/>
      <c r="J155" s="408"/>
      <c r="K155" s="268"/>
      <c r="L155" s="44" t="str">
        <f t="shared" si="3"/>
        <v/>
      </c>
      <c r="M155" s="182"/>
    </row>
    <row r="156" spans="1:13" ht="29.25" hidden="1" customHeight="1" thickBot="1">
      <c r="A156" s="476"/>
      <c r="B156" s="271"/>
      <c r="C156" s="271"/>
      <c r="D156" s="476"/>
      <c r="E156" s="269"/>
      <c r="F156" s="270"/>
      <c r="G156" s="269"/>
      <c r="H156" s="268"/>
      <c r="I156" s="268"/>
      <c r="J156" s="408"/>
      <c r="K156" s="268"/>
      <c r="L156" s="44" t="str">
        <f t="shared" si="3"/>
        <v/>
      </c>
      <c r="M156" s="182"/>
    </row>
    <row r="157" spans="1:13" ht="29.25" hidden="1" customHeight="1" thickBot="1">
      <c r="A157" s="476"/>
      <c r="B157" s="271"/>
      <c r="C157" s="271"/>
      <c r="D157" s="476"/>
      <c r="E157" s="269"/>
      <c r="F157" s="270"/>
      <c r="G157" s="269"/>
      <c r="H157" s="268"/>
      <c r="I157" s="268"/>
      <c r="J157" s="408"/>
      <c r="K157" s="268"/>
      <c r="L157" s="44" t="str">
        <f t="shared" si="3"/>
        <v/>
      </c>
      <c r="M157" s="182"/>
    </row>
    <row r="158" spans="1:13" ht="29.25" hidden="1" customHeight="1" thickBot="1">
      <c r="A158" s="476"/>
      <c r="B158" s="271"/>
      <c r="C158" s="271"/>
      <c r="D158" s="476"/>
      <c r="E158" s="269"/>
      <c r="F158" s="270"/>
      <c r="G158" s="269"/>
      <c r="H158" s="268"/>
      <c r="I158" s="268"/>
      <c r="J158" s="408"/>
      <c r="K158" s="268"/>
      <c r="L158" s="44" t="str">
        <f t="shared" si="3"/>
        <v/>
      </c>
      <c r="M158" s="182"/>
    </row>
    <row r="159" spans="1:13" ht="29.25" hidden="1" customHeight="1" thickBot="1">
      <c r="A159" s="476"/>
      <c r="B159" s="271"/>
      <c r="C159" s="271"/>
      <c r="D159" s="476"/>
      <c r="E159" s="269"/>
      <c r="F159" s="270"/>
      <c r="G159" s="269"/>
      <c r="H159" s="268"/>
      <c r="I159" s="268"/>
      <c r="J159" s="408"/>
      <c r="K159" s="268"/>
      <c r="L159" s="44" t="str">
        <f t="shared" si="3"/>
        <v/>
      </c>
      <c r="M159" s="182"/>
    </row>
    <row r="160" spans="1:13" ht="29.25" hidden="1" customHeight="1" thickBot="1">
      <c r="A160" s="476"/>
      <c r="B160" s="271"/>
      <c r="C160" s="271"/>
      <c r="D160" s="476"/>
      <c r="E160" s="269"/>
      <c r="F160" s="270"/>
      <c r="G160" s="269"/>
      <c r="H160" s="268"/>
      <c r="I160" s="268"/>
      <c r="J160" s="408"/>
      <c r="K160" s="268"/>
      <c r="L160" s="44" t="str">
        <f t="shared" si="3"/>
        <v/>
      </c>
      <c r="M160" s="182"/>
    </row>
    <row r="161" spans="1:13" ht="29.25" hidden="1" customHeight="1" thickBot="1">
      <c r="A161" s="476"/>
      <c r="B161" s="271"/>
      <c r="C161" s="271"/>
      <c r="D161" s="476"/>
      <c r="E161" s="269"/>
      <c r="F161" s="270"/>
      <c r="G161" s="269"/>
      <c r="H161" s="268"/>
      <c r="I161" s="268"/>
      <c r="J161" s="408"/>
      <c r="K161" s="268"/>
      <c r="L161" s="44" t="str">
        <f t="shared" si="3"/>
        <v/>
      </c>
      <c r="M161" s="182"/>
    </row>
    <row r="162" spans="1:13" ht="29.25" hidden="1" customHeight="1" thickBot="1">
      <c r="A162" s="476"/>
      <c r="B162" s="271"/>
      <c r="C162" s="271"/>
      <c r="D162" s="476"/>
      <c r="E162" s="269"/>
      <c r="F162" s="270"/>
      <c r="G162" s="269"/>
      <c r="H162" s="268"/>
      <c r="I162" s="268"/>
      <c r="J162" s="408"/>
      <c r="K162" s="268"/>
      <c r="L162" s="44" t="str">
        <f t="shared" si="3"/>
        <v/>
      </c>
      <c r="M162" s="182"/>
    </row>
    <row r="163" spans="1:13" ht="29.25" hidden="1" customHeight="1" thickBot="1">
      <c r="A163" s="476"/>
      <c r="B163" s="271"/>
      <c r="C163" s="271"/>
      <c r="D163" s="476"/>
      <c r="E163" s="269"/>
      <c r="F163" s="270"/>
      <c r="G163" s="269"/>
      <c r="H163" s="268"/>
      <c r="I163" s="268"/>
      <c r="J163" s="408"/>
      <c r="K163" s="268"/>
      <c r="L163" s="44" t="str">
        <f t="shared" si="3"/>
        <v/>
      </c>
      <c r="M163" s="182"/>
    </row>
    <row r="164" spans="1:13" ht="29.25" hidden="1" customHeight="1" thickBot="1">
      <c r="A164" s="476"/>
      <c r="B164" s="271"/>
      <c r="C164" s="271"/>
      <c r="D164" s="476"/>
      <c r="E164" s="269"/>
      <c r="F164" s="270"/>
      <c r="G164" s="269"/>
      <c r="H164" s="268"/>
      <c r="I164" s="268"/>
      <c r="J164" s="408"/>
      <c r="K164" s="268"/>
      <c r="L164" s="44" t="str">
        <f t="shared" si="3"/>
        <v/>
      </c>
      <c r="M164" s="182"/>
    </row>
    <row r="165" spans="1:13" ht="29.25" hidden="1" customHeight="1" thickBot="1">
      <c r="A165" s="476"/>
      <c r="B165" s="271"/>
      <c r="C165" s="271"/>
      <c r="D165" s="476"/>
      <c r="E165" s="269"/>
      <c r="F165" s="270"/>
      <c r="G165" s="269"/>
      <c r="H165" s="268"/>
      <c r="I165" s="268"/>
      <c r="J165" s="408"/>
      <c r="K165" s="268"/>
      <c r="L165" s="44" t="str">
        <f t="shared" si="3"/>
        <v/>
      </c>
      <c r="M165" s="182"/>
    </row>
    <row r="166" spans="1:13" ht="29.25" hidden="1" customHeight="1" thickBot="1">
      <c r="A166" s="476"/>
      <c r="B166" s="271"/>
      <c r="C166" s="271"/>
      <c r="D166" s="476"/>
      <c r="E166" s="269"/>
      <c r="F166" s="270"/>
      <c r="G166" s="269"/>
      <c r="H166" s="268"/>
      <c r="I166" s="268"/>
      <c r="J166" s="408"/>
      <c r="K166" s="268"/>
      <c r="L166" s="44" t="str">
        <f t="shared" si="3"/>
        <v/>
      </c>
      <c r="M166" s="182"/>
    </row>
    <row r="167" spans="1:13" ht="29.25" hidden="1" customHeight="1" thickBot="1">
      <c r="A167" s="476"/>
      <c r="B167" s="271"/>
      <c r="C167" s="271"/>
      <c r="D167" s="476"/>
      <c r="E167" s="269"/>
      <c r="F167" s="270"/>
      <c r="G167" s="269"/>
      <c r="H167" s="268"/>
      <c r="I167" s="268"/>
      <c r="J167" s="408"/>
      <c r="K167" s="268"/>
      <c r="L167" s="44" t="str">
        <f t="shared" si="3"/>
        <v/>
      </c>
      <c r="M167" s="182"/>
    </row>
    <row r="168" spans="1:13" ht="29.25" hidden="1" customHeight="1" thickBot="1">
      <c r="A168" s="476"/>
      <c r="B168" s="271"/>
      <c r="C168" s="271"/>
      <c r="D168" s="476"/>
      <c r="E168" s="269"/>
      <c r="F168" s="270"/>
      <c r="G168" s="269"/>
      <c r="H168" s="268"/>
      <c r="I168" s="268"/>
      <c r="J168" s="408"/>
      <c r="K168" s="268"/>
      <c r="L168" s="44" t="str">
        <f t="shared" si="3"/>
        <v/>
      </c>
      <c r="M168" s="182"/>
    </row>
    <row r="169" spans="1:13" ht="29.25" hidden="1" customHeight="1" thickBot="1">
      <c r="A169" s="476"/>
      <c r="B169" s="271"/>
      <c r="C169" s="271"/>
      <c r="D169" s="476"/>
      <c r="E169" s="269"/>
      <c r="F169" s="270"/>
      <c r="G169" s="269"/>
      <c r="H169" s="268"/>
      <c r="I169" s="268"/>
      <c r="J169" s="408"/>
      <c r="K169" s="268"/>
      <c r="L169" s="44" t="str">
        <f t="shared" si="3"/>
        <v/>
      </c>
      <c r="M169" s="182"/>
    </row>
    <row r="170" spans="1:13" ht="29.25" hidden="1" customHeight="1" thickBot="1">
      <c r="A170" s="476"/>
      <c r="B170" s="271"/>
      <c r="C170" s="271"/>
      <c r="D170" s="476"/>
      <c r="E170" s="269"/>
      <c r="F170" s="270"/>
      <c r="G170" s="269"/>
      <c r="H170" s="268"/>
      <c r="I170" s="268"/>
      <c r="J170" s="408"/>
      <c r="K170" s="268"/>
      <c r="L170" s="44" t="str">
        <f t="shared" si="3"/>
        <v/>
      </c>
      <c r="M170" s="182"/>
    </row>
    <row r="171" spans="1:13" ht="29.25" hidden="1" customHeight="1" thickBot="1">
      <c r="A171" s="476"/>
      <c r="B171" s="271"/>
      <c r="C171" s="271"/>
      <c r="D171" s="476"/>
      <c r="E171" s="269"/>
      <c r="F171" s="270"/>
      <c r="G171" s="269"/>
      <c r="H171" s="268"/>
      <c r="I171" s="268"/>
      <c r="J171" s="408"/>
      <c r="K171" s="268"/>
      <c r="L171" s="44" t="str">
        <f t="shared" si="3"/>
        <v/>
      </c>
      <c r="M171" s="182"/>
    </row>
    <row r="172" spans="1:13" ht="29.25" hidden="1" customHeight="1" thickBot="1">
      <c r="A172" s="476"/>
      <c r="B172" s="271"/>
      <c r="C172" s="271"/>
      <c r="D172" s="476"/>
      <c r="E172" s="269"/>
      <c r="F172" s="270"/>
      <c r="G172" s="269"/>
      <c r="H172" s="268"/>
      <c r="I172" s="268"/>
      <c r="J172" s="408"/>
      <c r="K172" s="268"/>
      <c r="L172" s="44" t="str">
        <f t="shared" si="3"/>
        <v/>
      </c>
      <c r="M172" s="182"/>
    </row>
    <row r="173" spans="1:13" ht="29.25" hidden="1" customHeight="1" thickBot="1">
      <c r="A173" s="476"/>
      <c r="B173" s="271"/>
      <c r="C173" s="271"/>
      <c r="D173" s="476"/>
      <c r="E173" s="269"/>
      <c r="F173" s="270"/>
      <c r="G173" s="269"/>
      <c r="H173" s="268"/>
      <c r="I173" s="268"/>
      <c r="J173" s="408"/>
      <c r="K173" s="268"/>
      <c r="L173" s="44" t="str">
        <f t="shared" si="3"/>
        <v/>
      </c>
      <c r="M173" s="182"/>
    </row>
    <row r="174" spans="1:13" ht="29.25" hidden="1" customHeight="1" thickBot="1">
      <c r="A174" s="476"/>
      <c r="B174" s="271"/>
      <c r="C174" s="271"/>
      <c r="D174" s="476"/>
      <c r="E174" s="269"/>
      <c r="F174" s="270"/>
      <c r="G174" s="269"/>
      <c r="H174" s="268"/>
      <c r="I174" s="268"/>
      <c r="J174" s="408"/>
      <c r="K174" s="268"/>
      <c r="L174" s="44" t="str">
        <f t="shared" si="3"/>
        <v/>
      </c>
      <c r="M174" s="182"/>
    </row>
    <row r="175" spans="1:13" ht="29.25" hidden="1" customHeight="1" thickBot="1">
      <c r="A175" s="476"/>
      <c r="B175" s="271"/>
      <c r="C175" s="271"/>
      <c r="D175" s="476"/>
      <c r="E175" s="269"/>
      <c r="F175" s="270"/>
      <c r="G175" s="269"/>
      <c r="H175" s="268"/>
      <c r="I175" s="268"/>
      <c r="J175" s="408"/>
      <c r="K175" s="268"/>
      <c r="L175" s="44" t="str">
        <f t="shared" si="3"/>
        <v/>
      </c>
      <c r="M175" s="182"/>
    </row>
    <row r="176" spans="1:13" ht="29.25" hidden="1" customHeight="1" thickBot="1">
      <c r="A176" s="476"/>
      <c r="B176" s="271"/>
      <c r="C176" s="271"/>
      <c r="D176" s="476"/>
      <c r="E176" s="269"/>
      <c r="F176" s="270"/>
      <c r="G176" s="269"/>
      <c r="H176" s="268"/>
      <c r="I176" s="268"/>
      <c r="J176" s="408"/>
      <c r="K176" s="268"/>
      <c r="L176" s="44" t="str">
        <f t="shared" si="3"/>
        <v/>
      </c>
      <c r="M176" s="182"/>
    </row>
    <row r="177" spans="1:13" ht="29.25" hidden="1" customHeight="1" thickBot="1">
      <c r="A177" s="476"/>
      <c r="B177" s="271"/>
      <c r="C177" s="271"/>
      <c r="D177" s="476"/>
      <c r="E177" s="269"/>
      <c r="F177" s="270"/>
      <c r="G177" s="269"/>
      <c r="H177" s="268"/>
      <c r="I177" s="268"/>
      <c r="J177" s="408"/>
      <c r="K177" s="268"/>
      <c r="L177" s="44" t="str">
        <f t="shared" si="3"/>
        <v/>
      </c>
      <c r="M177" s="182"/>
    </row>
    <row r="178" spans="1:13" ht="29.25" hidden="1" customHeight="1" thickBot="1">
      <c r="A178" s="476"/>
      <c r="B178" s="271"/>
      <c r="C178" s="271"/>
      <c r="D178" s="476"/>
      <c r="E178" s="269"/>
      <c r="F178" s="270"/>
      <c r="G178" s="269"/>
      <c r="H178" s="268"/>
      <c r="I178" s="268"/>
      <c r="J178" s="408"/>
      <c r="K178" s="268"/>
      <c r="L178" s="44" t="str">
        <f t="shared" si="3"/>
        <v/>
      </c>
      <c r="M178" s="182"/>
    </row>
    <row r="179" spans="1:13" ht="29.25" hidden="1" customHeight="1" thickBot="1">
      <c r="A179" s="476"/>
      <c r="B179" s="271"/>
      <c r="C179" s="271"/>
      <c r="D179" s="476"/>
      <c r="E179" s="269"/>
      <c r="F179" s="270"/>
      <c r="G179" s="269"/>
      <c r="H179" s="268"/>
      <c r="I179" s="268"/>
      <c r="J179" s="408"/>
      <c r="K179" s="268"/>
      <c r="L179" s="44" t="str">
        <f t="shared" si="3"/>
        <v/>
      </c>
      <c r="M179" s="182"/>
    </row>
    <row r="180" spans="1:13" ht="29.25" hidden="1" customHeight="1" thickBot="1">
      <c r="A180" s="476"/>
      <c r="B180" s="271"/>
      <c r="C180" s="271"/>
      <c r="D180" s="476"/>
      <c r="E180" s="269"/>
      <c r="F180" s="270"/>
      <c r="G180" s="269"/>
      <c r="H180" s="268"/>
      <c r="I180" s="268"/>
      <c r="J180" s="408"/>
      <c r="K180" s="268"/>
      <c r="L180" s="44" t="str">
        <f t="shared" si="3"/>
        <v/>
      </c>
      <c r="M180" s="182"/>
    </row>
    <row r="181" spans="1:13" ht="29.25" hidden="1" customHeight="1" thickBot="1">
      <c r="A181" s="476"/>
      <c r="B181" s="271"/>
      <c r="C181" s="271"/>
      <c r="D181" s="476"/>
      <c r="E181" s="269"/>
      <c r="F181" s="270"/>
      <c r="G181" s="269"/>
      <c r="H181" s="268"/>
      <c r="I181" s="268"/>
      <c r="J181" s="408"/>
      <c r="K181" s="268"/>
      <c r="L181" s="44" t="str">
        <f t="shared" si="3"/>
        <v/>
      </c>
      <c r="M181" s="182"/>
    </row>
    <row r="182" spans="1:13" ht="29.25" hidden="1" customHeight="1" thickBot="1">
      <c r="A182" s="476"/>
      <c r="B182" s="271"/>
      <c r="C182" s="271"/>
      <c r="D182" s="476"/>
      <c r="E182" s="269"/>
      <c r="F182" s="270"/>
      <c r="G182" s="269"/>
      <c r="H182" s="268"/>
      <c r="I182" s="268"/>
      <c r="J182" s="408"/>
      <c r="K182" s="268"/>
      <c r="L182" s="44" t="str">
        <f t="shared" si="3"/>
        <v/>
      </c>
      <c r="M182" s="182"/>
    </row>
    <row r="183" spans="1:13" ht="29.25" hidden="1" customHeight="1" thickBot="1">
      <c r="A183" s="476"/>
      <c r="B183" s="271"/>
      <c r="C183" s="271"/>
      <c r="D183" s="476"/>
      <c r="E183" s="269"/>
      <c r="F183" s="270"/>
      <c r="G183" s="269"/>
      <c r="H183" s="268"/>
      <c r="I183" s="268"/>
      <c r="J183" s="408"/>
      <c r="K183" s="268"/>
      <c r="L183" s="44" t="str">
        <f t="shared" si="3"/>
        <v/>
      </c>
      <c r="M183" s="182"/>
    </row>
    <row r="184" spans="1:13" ht="29.25" hidden="1" customHeight="1" thickBot="1">
      <c r="A184" s="476"/>
      <c r="B184" s="271"/>
      <c r="C184" s="271"/>
      <c r="D184" s="476"/>
      <c r="E184" s="269"/>
      <c r="F184" s="270"/>
      <c r="G184" s="269"/>
      <c r="H184" s="268"/>
      <c r="I184" s="268"/>
      <c r="J184" s="408"/>
      <c r="K184" s="268"/>
      <c r="L184" s="44" t="str">
        <f t="shared" si="3"/>
        <v/>
      </c>
      <c r="M184" s="182"/>
    </row>
    <row r="185" spans="1:13" ht="29.25" hidden="1" customHeight="1" thickBot="1">
      <c r="A185" s="476"/>
      <c r="B185" s="271"/>
      <c r="C185" s="271"/>
      <c r="D185" s="476"/>
      <c r="E185" s="269"/>
      <c r="F185" s="270"/>
      <c r="G185" s="269"/>
      <c r="H185" s="268"/>
      <c r="I185" s="268"/>
      <c r="J185" s="408"/>
      <c r="K185" s="268"/>
      <c r="L185" s="44" t="str">
        <f t="shared" si="3"/>
        <v/>
      </c>
      <c r="M185" s="182"/>
    </row>
    <row r="186" spans="1:13" ht="29.25" hidden="1" customHeight="1" thickBot="1">
      <c r="A186" s="476"/>
      <c r="B186" s="271"/>
      <c r="C186" s="271"/>
      <c r="D186" s="476"/>
      <c r="E186" s="269"/>
      <c r="F186" s="270"/>
      <c r="G186" s="269"/>
      <c r="H186" s="268"/>
      <c r="I186" s="268"/>
      <c r="J186" s="408"/>
      <c r="K186" s="268"/>
      <c r="L186" s="44" t="str">
        <f t="shared" si="3"/>
        <v/>
      </c>
      <c r="M186" s="182"/>
    </row>
    <row r="187" spans="1:13" ht="29.25" hidden="1" customHeight="1" thickBot="1">
      <c r="A187" s="476"/>
      <c r="B187" s="271"/>
      <c r="C187" s="271"/>
      <c r="D187" s="476"/>
      <c r="E187" s="269"/>
      <c r="F187" s="270"/>
      <c r="G187" s="269"/>
      <c r="H187" s="268"/>
      <c r="I187" s="268"/>
      <c r="J187" s="408"/>
      <c r="K187" s="268"/>
      <c r="L187" s="44" t="str">
        <f t="shared" si="3"/>
        <v/>
      </c>
      <c r="M187" s="182"/>
    </row>
    <row r="188" spans="1:13" ht="29.25" hidden="1" customHeight="1" thickBot="1">
      <c r="A188" s="476"/>
      <c r="B188" s="271"/>
      <c r="C188" s="271"/>
      <c r="D188" s="476"/>
      <c r="E188" s="269"/>
      <c r="F188" s="270"/>
      <c r="G188" s="269"/>
      <c r="H188" s="268"/>
      <c r="I188" s="268"/>
      <c r="J188" s="408"/>
      <c r="K188" s="268"/>
      <c r="L188" s="44" t="str">
        <f t="shared" si="3"/>
        <v/>
      </c>
      <c r="M188" s="182"/>
    </row>
    <row r="189" spans="1:13" ht="29.25" hidden="1" customHeight="1" thickBot="1">
      <c r="A189" s="476"/>
      <c r="B189" s="271"/>
      <c r="C189" s="271"/>
      <c r="D189" s="476"/>
      <c r="E189" s="269"/>
      <c r="F189" s="270"/>
      <c r="G189" s="269"/>
      <c r="H189" s="268"/>
      <c r="I189" s="268"/>
      <c r="J189" s="408"/>
      <c r="K189" s="268"/>
      <c r="L189" s="44" t="str">
        <f t="shared" si="3"/>
        <v/>
      </c>
      <c r="M189" s="182"/>
    </row>
    <row r="190" spans="1:13" ht="29.25" hidden="1" customHeight="1" thickBot="1">
      <c r="A190" s="476"/>
      <c r="B190" s="271"/>
      <c r="C190" s="271"/>
      <c r="D190" s="476"/>
      <c r="E190" s="269"/>
      <c r="F190" s="270"/>
      <c r="G190" s="269"/>
      <c r="H190" s="268"/>
      <c r="I190" s="268"/>
      <c r="J190" s="408"/>
      <c r="K190" s="268"/>
      <c r="L190" s="44" t="str">
        <f t="shared" si="3"/>
        <v/>
      </c>
      <c r="M190" s="182"/>
    </row>
    <row r="191" spans="1:13" ht="29.25" hidden="1" customHeight="1" thickBot="1">
      <c r="A191" s="476"/>
      <c r="B191" s="271"/>
      <c r="C191" s="271"/>
      <c r="D191" s="476"/>
      <c r="E191" s="269"/>
      <c r="F191" s="270"/>
      <c r="G191" s="269"/>
      <c r="H191" s="268"/>
      <c r="I191" s="268"/>
      <c r="J191" s="408"/>
      <c r="K191" s="268"/>
      <c r="L191" s="44" t="str">
        <f t="shared" si="3"/>
        <v/>
      </c>
      <c r="M191" s="182"/>
    </row>
    <row r="192" spans="1:13" ht="29.25" hidden="1" customHeight="1" thickBot="1">
      <c r="A192" s="476"/>
      <c r="B192" s="271"/>
      <c r="C192" s="271"/>
      <c r="D192" s="476"/>
      <c r="E192" s="269"/>
      <c r="F192" s="270"/>
      <c r="G192" s="269"/>
      <c r="H192" s="268"/>
      <c r="I192" s="268"/>
      <c r="J192" s="408"/>
      <c r="K192" s="268"/>
      <c r="L192" s="44" t="str">
        <f t="shared" si="3"/>
        <v/>
      </c>
      <c r="M192" s="182"/>
    </row>
    <row r="193" spans="1:13" ht="29.25" hidden="1" customHeight="1" thickBot="1">
      <c r="A193" s="476"/>
      <c r="B193" s="271"/>
      <c r="C193" s="271"/>
      <c r="D193" s="476"/>
      <c r="E193" s="269"/>
      <c r="F193" s="270"/>
      <c r="G193" s="269"/>
      <c r="H193" s="268"/>
      <c r="I193" s="268"/>
      <c r="J193" s="408"/>
      <c r="K193" s="268"/>
      <c r="L193" s="44" t="str">
        <f t="shared" si="3"/>
        <v/>
      </c>
      <c r="M193" s="182"/>
    </row>
    <row r="194" spans="1:13" ht="29.25" hidden="1" customHeight="1" thickBot="1">
      <c r="A194" s="476"/>
      <c r="B194" s="271"/>
      <c r="C194" s="271"/>
      <c r="D194" s="476"/>
      <c r="E194" s="269"/>
      <c r="F194" s="270"/>
      <c r="G194" s="269"/>
      <c r="H194" s="268"/>
      <c r="I194" s="268"/>
      <c r="J194" s="408"/>
      <c r="K194" s="268"/>
      <c r="L194" s="44" t="str">
        <f t="shared" si="3"/>
        <v/>
      </c>
      <c r="M194" s="182"/>
    </row>
    <row r="195" spans="1:13" ht="29.25" hidden="1" customHeight="1" thickBot="1">
      <c r="A195" s="476"/>
      <c r="B195" s="271"/>
      <c r="C195" s="271"/>
      <c r="D195" s="476"/>
      <c r="E195" s="269"/>
      <c r="F195" s="270"/>
      <c r="G195" s="269"/>
      <c r="H195" s="268"/>
      <c r="I195" s="268"/>
      <c r="J195" s="408"/>
      <c r="K195" s="268"/>
      <c r="L195" s="44" t="str">
        <f t="shared" si="3"/>
        <v/>
      </c>
      <c r="M195" s="182"/>
    </row>
    <row r="196" spans="1:13" ht="29.25" hidden="1" customHeight="1" thickBot="1">
      <c r="A196" s="476"/>
      <c r="B196" s="271"/>
      <c r="C196" s="271"/>
      <c r="D196" s="476"/>
      <c r="E196" s="269"/>
      <c r="F196" s="270"/>
      <c r="G196" s="269"/>
      <c r="H196" s="268"/>
      <c r="I196" s="268"/>
      <c r="J196" s="408"/>
      <c r="K196" s="268"/>
      <c r="L196" s="44" t="str">
        <f t="shared" si="3"/>
        <v/>
      </c>
      <c r="M196" s="182"/>
    </row>
    <row r="197" spans="1:13" ht="29.25" hidden="1" customHeight="1" thickBot="1">
      <c r="A197" s="476"/>
      <c r="B197" s="271"/>
      <c r="C197" s="271"/>
      <c r="D197" s="476"/>
      <c r="E197" s="269"/>
      <c r="F197" s="270"/>
      <c r="G197" s="269"/>
      <c r="H197" s="268"/>
      <c r="I197" s="268"/>
      <c r="J197" s="408"/>
      <c r="K197" s="268"/>
      <c r="L197" s="44" t="str">
        <f t="shared" si="3"/>
        <v/>
      </c>
      <c r="M197" s="182"/>
    </row>
    <row r="198" spans="1:13" ht="29.25" hidden="1" customHeight="1" thickBot="1">
      <c r="A198" s="476"/>
      <c r="B198" s="271"/>
      <c r="C198" s="271"/>
      <c r="D198" s="476"/>
      <c r="E198" s="269"/>
      <c r="F198" s="270"/>
      <c r="G198" s="269"/>
      <c r="H198" s="268"/>
      <c r="I198" s="268"/>
      <c r="J198" s="408"/>
      <c r="K198" s="268"/>
      <c r="L198" s="44" t="str">
        <f t="shared" si="3"/>
        <v/>
      </c>
      <c r="M198" s="182"/>
    </row>
    <row r="199" spans="1:13" ht="29.25" hidden="1" customHeight="1" thickBot="1">
      <c r="A199" s="476"/>
      <c r="B199" s="271"/>
      <c r="C199" s="271"/>
      <c r="D199" s="476"/>
      <c r="E199" s="269"/>
      <c r="F199" s="270"/>
      <c r="G199" s="269"/>
      <c r="H199" s="268"/>
      <c r="I199" s="268"/>
      <c r="J199" s="408"/>
      <c r="K199" s="268"/>
      <c r="L199" s="44" t="str">
        <f t="shared" si="3"/>
        <v/>
      </c>
      <c r="M199" s="182"/>
    </row>
    <row r="200" spans="1:13" ht="29.25" hidden="1" customHeight="1" thickBot="1">
      <c r="A200" s="476"/>
      <c r="B200" s="271"/>
      <c r="C200" s="271"/>
      <c r="D200" s="476"/>
      <c r="E200" s="269"/>
      <c r="F200" s="270"/>
      <c r="G200" s="269"/>
      <c r="H200" s="268"/>
      <c r="I200" s="268"/>
      <c r="J200" s="408"/>
      <c r="K200" s="268"/>
      <c r="L200" s="44" t="str">
        <f t="shared" si="3"/>
        <v/>
      </c>
      <c r="M200" s="182"/>
    </row>
    <row r="201" spans="1:13" ht="29.25" hidden="1" customHeight="1" thickBot="1">
      <c r="A201" s="476"/>
      <c r="B201" s="271"/>
      <c r="C201" s="271"/>
      <c r="D201" s="476"/>
      <c r="E201" s="269"/>
      <c r="F201" s="270"/>
      <c r="G201" s="269"/>
      <c r="H201" s="268"/>
      <c r="I201" s="268"/>
      <c r="J201" s="408"/>
      <c r="K201" s="268"/>
      <c r="L201" s="44" t="str">
        <f t="shared" si="3"/>
        <v/>
      </c>
      <c r="M201" s="182"/>
    </row>
    <row r="202" spans="1:13" ht="29.25" hidden="1" customHeight="1" thickBot="1">
      <c r="A202" s="476"/>
      <c r="B202" s="271"/>
      <c r="C202" s="271"/>
      <c r="D202" s="476"/>
      <c r="E202" s="269"/>
      <c r="F202" s="270"/>
      <c r="G202" s="269"/>
      <c r="H202" s="268"/>
      <c r="I202" s="268"/>
      <c r="J202" s="408"/>
      <c r="K202" s="268"/>
      <c r="L202" s="44" t="str">
        <f t="shared" ref="L202:L258" si="4">IF((I202+J202-K202)=0, "", (I202+J202-K202))</f>
        <v/>
      </c>
      <c r="M202" s="182"/>
    </row>
    <row r="203" spans="1:13" ht="29.25" hidden="1" customHeight="1" thickBot="1">
      <c r="A203" s="476"/>
      <c r="B203" s="271"/>
      <c r="C203" s="271"/>
      <c r="D203" s="476"/>
      <c r="E203" s="269"/>
      <c r="F203" s="270"/>
      <c r="G203" s="269"/>
      <c r="H203" s="268"/>
      <c r="I203" s="268"/>
      <c r="J203" s="408"/>
      <c r="K203" s="268"/>
      <c r="L203" s="44" t="str">
        <f t="shared" si="4"/>
        <v/>
      </c>
      <c r="M203" s="182"/>
    </row>
    <row r="204" spans="1:13" ht="29.25" hidden="1" customHeight="1" thickBot="1">
      <c r="A204" s="476"/>
      <c r="B204" s="271"/>
      <c r="C204" s="271"/>
      <c r="D204" s="476"/>
      <c r="E204" s="269"/>
      <c r="F204" s="270"/>
      <c r="G204" s="269"/>
      <c r="H204" s="268"/>
      <c r="I204" s="268"/>
      <c r="J204" s="408"/>
      <c r="K204" s="268"/>
      <c r="L204" s="44" t="str">
        <f t="shared" si="4"/>
        <v/>
      </c>
      <c r="M204" s="182"/>
    </row>
    <row r="205" spans="1:13" ht="29.25" hidden="1" customHeight="1" thickBot="1">
      <c r="A205" s="476"/>
      <c r="B205" s="271"/>
      <c r="C205" s="271"/>
      <c r="D205" s="476"/>
      <c r="E205" s="269"/>
      <c r="F205" s="270"/>
      <c r="G205" s="269"/>
      <c r="H205" s="268"/>
      <c r="I205" s="268"/>
      <c r="J205" s="408"/>
      <c r="K205" s="268"/>
      <c r="L205" s="44" t="str">
        <f t="shared" si="4"/>
        <v/>
      </c>
      <c r="M205" s="182"/>
    </row>
    <row r="206" spans="1:13" ht="29.25" hidden="1" customHeight="1" thickBot="1">
      <c r="A206" s="476"/>
      <c r="B206" s="271"/>
      <c r="C206" s="271"/>
      <c r="D206" s="476"/>
      <c r="E206" s="269"/>
      <c r="F206" s="270"/>
      <c r="G206" s="269"/>
      <c r="H206" s="268"/>
      <c r="I206" s="268"/>
      <c r="J206" s="408"/>
      <c r="K206" s="268"/>
      <c r="L206" s="44" t="str">
        <f t="shared" si="4"/>
        <v/>
      </c>
      <c r="M206" s="182"/>
    </row>
    <row r="207" spans="1:13" ht="29.25" hidden="1" customHeight="1" thickBot="1">
      <c r="A207" s="476"/>
      <c r="B207" s="271"/>
      <c r="C207" s="271"/>
      <c r="D207" s="476"/>
      <c r="E207" s="269"/>
      <c r="F207" s="270"/>
      <c r="G207" s="269"/>
      <c r="H207" s="268"/>
      <c r="I207" s="268"/>
      <c r="J207" s="408"/>
      <c r="K207" s="268"/>
      <c r="L207" s="44" t="str">
        <f t="shared" si="4"/>
        <v/>
      </c>
      <c r="M207" s="182"/>
    </row>
    <row r="208" spans="1:13" ht="29.25" hidden="1" customHeight="1" thickBot="1">
      <c r="A208" s="476"/>
      <c r="B208" s="271"/>
      <c r="C208" s="271"/>
      <c r="D208" s="476"/>
      <c r="E208" s="269"/>
      <c r="F208" s="270"/>
      <c r="G208" s="269"/>
      <c r="H208" s="268"/>
      <c r="I208" s="268"/>
      <c r="J208" s="408"/>
      <c r="K208" s="268"/>
      <c r="L208" s="44" t="str">
        <f t="shared" si="4"/>
        <v/>
      </c>
      <c r="M208" s="182"/>
    </row>
    <row r="209" spans="1:13" ht="29.25" hidden="1" customHeight="1" thickBot="1">
      <c r="A209" s="476"/>
      <c r="B209" s="271"/>
      <c r="C209" s="271"/>
      <c r="D209" s="476"/>
      <c r="E209" s="269"/>
      <c r="F209" s="270"/>
      <c r="G209" s="269"/>
      <c r="H209" s="268"/>
      <c r="I209" s="268"/>
      <c r="J209" s="408"/>
      <c r="K209" s="268"/>
      <c r="L209" s="44" t="str">
        <f t="shared" si="4"/>
        <v/>
      </c>
      <c r="M209" s="182"/>
    </row>
    <row r="210" spans="1:13" ht="29.25" hidden="1" customHeight="1" thickBot="1">
      <c r="A210" s="476"/>
      <c r="B210" s="271"/>
      <c r="C210" s="271"/>
      <c r="D210" s="476"/>
      <c r="E210" s="269"/>
      <c r="F210" s="270"/>
      <c r="G210" s="269"/>
      <c r="H210" s="268"/>
      <c r="I210" s="268"/>
      <c r="J210" s="408"/>
      <c r="K210" s="268"/>
      <c r="L210" s="44" t="str">
        <f t="shared" si="4"/>
        <v/>
      </c>
      <c r="M210" s="182"/>
    </row>
    <row r="211" spans="1:13" ht="29.25" hidden="1" customHeight="1" thickBot="1">
      <c r="A211" s="476"/>
      <c r="B211" s="271"/>
      <c r="C211" s="271"/>
      <c r="D211" s="476"/>
      <c r="E211" s="269"/>
      <c r="F211" s="270"/>
      <c r="G211" s="269"/>
      <c r="H211" s="268"/>
      <c r="I211" s="268"/>
      <c r="J211" s="408"/>
      <c r="K211" s="268"/>
      <c r="L211" s="44" t="str">
        <f t="shared" si="4"/>
        <v/>
      </c>
      <c r="M211" s="182"/>
    </row>
    <row r="212" spans="1:13" ht="29.25" hidden="1" customHeight="1" thickBot="1">
      <c r="A212" s="476"/>
      <c r="B212" s="271"/>
      <c r="C212" s="271"/>
      <c r="D212" s="476"/>
      <c r="E212" s="269"/>
      <c r="F212" s="270"/>
      <c r="G212" s="269"/>
      <c r="H212" s="268"/>
      <c r="I212" s="268"/>
      <c r="J212" s="408"/>
      <c r="K212" s="268"/>
      <c r="L212" s="44" t="str">
        <f t="shared" si="4"/>
        <v/>
      </c>
      <c r="M212" s="182"/>
    </row>
    <row r="213" spans="1:13" ht="29.25" hidden="1" customHeight="1" thickBot="1">
      <c r="A213" s="476"/>
      <c r="B213" s="271"/>
      <c r="C213" s="271"/>
      <c r="D213" s="476"/>
      <c r="E213" s="269"/>
      <c r="F213" s="270"/>
      <c r="G213" s="269"/>
      <c r="H213" s="268"/>
      <c r="I213" s="268"/>
      <c r="J213" s="408"/>
      <c r="K213" s="268"/>
      <c r="L213" s="44" t="str">
        <f t="shared" si="4"/>
        <v/>
      </c>
      <c r="M213" s="182"/>
    </row>
    <row r="214" spans="1:13" ht="29.25" hidden="1" customHeight="1" thickBot="1">
      <c r="A214" s="476"/>
      <c r="B214" s="271"/>
      <c r="C214" s="271"/>
      <c r="D214" s="476"/>
      <c r="E214" s="269"/>
      <c r="F214" s="270"/>
      <c r="G214" s="269"/>
      <c r="H214" s="268"/>
      <c r="I214" s="268"/>
      <c r="J214" s="408"/>
      <c r="K214" s="268"/>
      <c r="L214" s="44" t="str">
        <f t="shared" si="4"/>
        <v/>
      </c>
      <c r="M214" s="182"/>
    </row>
    <row r="215" spans="1:13" ht="29.25" hidden="1" customHeight="1" thickBot="1">
      <c r="A215" s="476"/>
      <c r="B215" s="271"/>
      <c r="C215" s="271"/>
      <c r="D215" s="476"/>
      <c r="E215" s="269"/>
      <c r="F215" s="270"/>
      <c r="G215" s="269"/>
      <c r="H215" s="268"/>
      <c r="I215" s="268"/>
      <c r="J215" s="408"/>
      <c r="K215" s="268"/>
      <c r="L215" s="44" t="str">
        <f t="shared" si="4"/>
        <v/>
      </c>
      <c r="M215" s="182"/>
    </row>
    <row r="216" spans="1:13" ht="29.25" hidden="1" customHeight="1" thickBot="1">
      <c r="A216" s="476"/>
      <c r="B216" s="271"/>
      <c r="C216" s="271"/>
      <c r="D216" s="476"/>
      <c r="E216" s="269"/>
      <c r="F216" s="270"/>
      <c r="G216" s="269"/>
      <c r="H216" s="268"/>
      <c r="I216" s="268"/>
      <c r="J216" s="408"/>
      <c r="K216" s="268"/>
      <c r="L216" s="44" t="str">
        <f t="shared" si="4"/>
        <v/>
      </c>
      <c r="M216" s="182"/>
    </row>
    <row r="217" spans="1:13" ht="29.25" hidden="1" customHeight="1" thickBot="1">
      <c r="A217" s="476"/>
      <c r="B217" s="271"/>
      <c r="C217" s="271"/>
      <c r="D217" s="476"/>
      <c r="E217" s="269"/>
      <c r="F217" s="270"/>
      <c r="G217" s="269"/>
      <c r="H217" s="268"/>
      <c r="I217" s="268"/>
      <c r="J217" s="408"/>
      <c r="K217" s="268"/>
      <c r="L217" s="44" t="str">
        <f t="shared" si="4"/>
        <v/>
      </c>
      <c r="M217" s="182"/>
    </row>
    <row r="218" spans="1:13" ht="29.25" hidden="1" customHeight="1" thickBot="1">
      <c r="A218" s="476"/>
      <c r="B218" s="271"/>
      <c r="C218" s="271"/>
      <c r="D218" s="476"/>
      <c r="E218" s="269"/>
      <c r="F218" s="270"/>
      <c r="G218" s="269"/>
      <c r="H218" s="268"/>
      <c r="I218" s="268"/>
      <c r="J218" s="408"/>
      <c r="K218" s="268"/>
      <c r="L218" s="44" t="str">
        <f t="shared" si="4"/>
        <v/>
      </c>
      <c r="M218" s="182"/>
    </row>
    <row r="219" spans="1:13" ht="29.25" hidden="1" customHeight="1" thickBot="1">
      <c r="A219" s="476"/>
      <c r="B219" s="271"/>
      <c r="C219" s="271"/>
      <c r="D219" s="476"/>
      <c r="E219" s="269"/>
      <c r="F219" s="270"/>
      <c r="G219" s="269"/>
      <c r="H219" s="268"/>
      <c r="I219" s="268"/>
      <c r="J219" s="408"/>
      <c r="K219" s="268"/>
      <c r="L219" s="44" t="str">
        <f t="shared" si="4"/>
        <v/>
      </c>
      <c r="M219" s="182"/>
    </row>
    <row r="220" spans="1:13" ht="29.25" hidden="1" customHeight="1" thickBot="1">
      <c r="A220" s="476"/>
      <c r="B220" s="271"/>
      <c r="C220" s="271"/>
      <c r="D220" s="476"/>
      <c r="E220" s="269"/>
      <c r="F220" s="270"/>
      <c r="G220" s="269"/>
      <c r="H220" s="268"/>
      <c r="I220" s="268"/>
      <c r="J220" s="408"/>
      <c r="K220" s="268"/>
      <c r="L220" s="44" t="str">
        <f t="shared" si="4"/>
        <v/>
      </c>
      <c r="M220" s="182"/>
    </row>
    <row r="221" spans="1:13" ht="29.25" hidden="1" customHeight="1" thickBot="1">
      <c r="A221" s="476"/>
      <c r="B221" s="271"/>
      <c r="C221" s="271"/>
      <c r="D221" s="476"/>
      <c r="E221" s="269"/>
      <c r="F221" s="270"/>
      <c r="G221" s="269"/>
      <c r="H221" s="268"/>
      <c r="I221" s="268"/>
      <c r="J221" s="408"/>
      <c r="K221" s="268"/>
      <c r="L221" s="44" t="str">
        <f t="shared" si="4"/>
        <v/>
      </c>
      <c r="M221" s="182"/>
    </row>
    <row r="222" spans="1:13" ht="29.25" hidden="1" customHeight="1" thickBot="1">
      <c r="A222" s="476"/>
      <c r="B222" s="271"/>
      <c r="C222" s="271"/>
      <c r="D222" s="476"/>
      <c r="E222" s="269"/>
      <c r="F222" s="270"/>
      <c r="G222" s="269"/>
      <c r="H222" s="268"/>
      <c r="I222" s="268"/>
      <c r="J222" s="408"/>
      <c r="K222" s="268"/>
      <c r="L222" s="44" t="str">
        <f t="shared" si="4"/>
        <v/>
      </c>
      <c r="M222" s="182"/>
    </row>
    <row r="223" spans="1:13" ht="29.25" hidden="1" customHeight="1" thickBot="1">
      <c r="A223" s="476"/>
      <c r="B223" s="271"/>
      <c r="C223" s="271"/>
      <c r="D223" s="476"/>
      <c r="E223" s="269"/>
      <c r="F223" s="270"/>
      <c r="G223" s="269"/>
      <c r="H223" s="268"/>
      <c r="I223" s="268"/>
      <c r="J223" s="408"/>
      <c r="K223" s="268"/>
      <c r="L223" s="44" t="str">
        <f t="shared" si="4"/>
        <v/>
      </c>
      <c r="M223" s="182"/>
    </row>
    <row r="224" spans="1:13" ht="29.25" hidden="1" customHeight="1" thickBot="1">
      <c r="A224" s="476"/>
      <c r="B224" s="271"/>
      <c r="C224" s="271"/>
      <c r="D224" s="476"/>
      <c r="E224" s="269"/>
      <c r="F224" s="270"/>
      <c r="G224" s="269"/>
      <c r="H224" s="268"/>
      <c r="I224" s="268"/>
      <c r="J224" s="408"/>
      <c r="K224" s="268"/>
      <c r="L224" s="44" t="str">
        <f t="shared" si="4"/>
        <v/>
      </c>
      <c r="M224" s="182"/>
    </row>
    <row r="225" spans="1:13" ht="29.25" hidden="1" customHeight="1" thickBot="1">
      <c r="A225" s="476"/>
      <c r="B225" s="271"/>
      <c r="C225" s="271"/>
      <c r="D225" s="476"/>
      <c r="E225" s="269"/>
      <c r="F225" s="270"/>
      <c r="G225" s="269"/>
      <c r="H225" s="268"/>
      <c r="I225" s="268"/>
      <c r="J225" s="408"/>
      <c r="K225" s="268"/>
      <c r="L225" s="44" t="str">
        <f t="shared" si="4"/>
        <v/>
      </c>
      <c r="M225" s="182"/>
    </row>
    <row r="226" spans="1:13" ht="29.25" hidden="1" customHeight="1" thickBot="1">
      <c r="A226" s="476"/>
      <c r="B226" s="271"/>
      <c r="C226" s="271"/>
      <c r="D226" s="476"/>
      <c r="E226" s="269"/>
      <c r="F226" s="270"/>
      <c r="G226" s="269"/>
      <c r="H226" s="268"/>
      <c r="I226" s="268"/>
      <c r="J226" s="408"/>
      <c r="K226" s="268"/>
      <c r="L226" s="44" t="str">
        <f t="shared" si="4"/>
        <v/>
      </c>
      <c r="M226" s="182"/>
    </row>
    <row r="227" spans="1:13" ht="29.25" hidden="1" customHeight="1" thickBot="1">
      <c r="A227" s="476"/>
      <c r="B227" s="271"/>
      <c r="C227" s="271"/>
      <c r="D227" s="476"/>
      <c r="E227" s="269"/>
      <c r="F227" s="270"/>
      <c r="G227" s="269"/>
      <c r="H227" s="268"/>
      <c r="I227" s="268"/>
      <c r="J227" s="408"/>
      <c r="K227" s="268"/>
      <c r="L227" s="44" t="str">
        <f t="shared" si="4"/>
        <v/>
      </c>
      <c r="M227" s="182"/>
    </row>
    <row r="228" spans="1:13" ht="29.25" hidden="1" customHeight="1" thickBot="1">
      <c r="A228" s="476"/>
      <c r="B228" s="271"/>
      <c r="C228" s="271"/>
      <c r="D228" s="476"/>
      <c r="E228" s="269"/>
      <c r="F228" s="270"/>
      <c r="G228" s="269"/>
      <c r="H228" s="268"/>
      <c r="I228" s="268"/>
      <c r="J228" s="408"/>
      <c r="K228" s="268"/>
      <c r="L228" s="44" t="str">
        <f t="shared" si="4"/>
        <v/>
      </c>
      <c r="M228" s="182"/>
    </row>
    <row r="229" spans="1:13" ht="29.25" hidden="1" customHeight="1" thickBot="1">
      <c r="A229" s="476"/>
      <c r="B229" s="271"/>
      <c r="C229" s="271"/>
      <c r="D229" s="476"/>
      <c r="E229" s="269"/>
      <c r="F229" s="270"/>
      <c r="G229" s="269"/>
      <c r="H229" s="268"/>
      <c r="I229" s="268"/>
      <c r="J229" s="408"/>
      <c r="K229" s="268"/>
      <c r="L229" s="44" t="str">
        <f t="shared" si="4"/>
        <v/>
      </c>
      <c r="M229" s="182"/>
    </row>
    <row r="230" spans="1:13" ht="29.25" hidden="1" customHeight="1" thickBot="1">
      <c r="A230" s="476"/>
      <c r="B230" s="271"/>
      <c r="C230" s="271"/>
      <c r="D230" s="476"/>
      <c r="E230" s="269"/>
      <c r="F230" s="270"/>
      <c r="G230" s="269"/>
      <c r="H230" s="268"/>
      <c r="I230" s="268"/>
      <c r="J230" s="408"/>
      <c r="K230" s="268"/>
      <c r="L230" s="44" t="str">
        <f t="shared" si="4"/>
        <v/>
      </c>
      <c r="M230" s="182"/>
    </row>
    <row r="231" spans="1:13" ht="29.25" hidden="1" customHeight="1" thickBot="1">
      <c r="A231" s="476"/>
      <c r="B231" s="271"/>
      <c r="C231" s="271"/>
      <c r="D231" s="476"/>
      <c r="E231" s="269"/>
      <c r="F231" s="270"/>
      <c r="G231" s="269"/>
      <c r="H231" s="268"/>
      <c r="I231" s="268"/>
      <c r="J231" s="408"/>
      <c r="K231" s="268"/>
      <c r="L231" s="44" t="str">
        <f t="shared" si="4"/>
        <v/>
      </c>
      <c r="M231" s="182"/>
    </row>
    <row r="232" spans="1:13" ht="29.25" hidden="1" customHeight="1" thickBot="1">
      <c r="A232" s="476"/>
      <c r="B232" s="271"/>
      <c r="C232" s="271"/>
      <c r="D232" s="476"/>
      <c r="E232" s="269"/>
      <c r="F232" s="270"/>
      <c r="G232" s="269"/>
      <c r="H232" s="268"/>
      <c r="I232" s="268"/>
      <c r="J232" s="408"/>
      <c r="K232" s="268"/>
      <c r="L232" s="44" t="str">
        <f t="shared" si="4"/>
        <v/>
      </c>
      <c r="M232" s="182"/>
    </row>
    <row r="233" spans="1:13" ht="29.25" hidden="1" customHeight="1" thickBot="1">
      <c r="A233" s="476"/>
      <c r="B233" s="271"/>
      <c r="C233" s="271"/>
      <c r="D233" s="476"/>
      <c r="E233" s="269"/>
      <c r="F233" s="270"/>
      <c r="G233" s="269"/>
      <c r="H233" s="268"/>
      <c r="I233" s="268"/>
      <c r="J233" s="408"/>
      <c r="K233" s="268"/>
      <c r="L233" s="44" t="str">
        <f t="shared" si="4"/>
        <v/>
      </c>
      <c r="M233" s="182"/>
    </row>
    <row r="234" spans="1:13" ht="29.25" hidden="1" customHeight="1" thickBot="1">
      <c r="A234" s="476"/>
      <c r="B234" s="271"/>
      <c r="C234" s="271"/>
      <c r="D234" s="476"/>
      <c r="E234" s="269"/>
      <c r="F234" s="270"/>
      <c r="G234" s="269"/>
      <c r="H234" s="268"/>
      <c r="I234" s="268"/>
      <c r="J234" s="408"/>
      <c r="K234" s="268"/>
      <c r="L234" s="44" t="str">
        <f t="shared" si="4"/>
        <v/>
      </c>
      <c r="M234" s="182"/>
    </row>
    <row r="235" spans="1:13" ht="29.25" hidden="1" customHeight="1" thickBot="1">
      <c r="A235" s="476"/>
      <c r="B235" s="271"/>
      <c r="C235" s="271"/>
      <c r="D235" s="476"/>
      <c r="E235" s="269"/>
      <c r="F235" s="270"/>
      <c r="G235" s="269"/>
      <c r="H235" s="268"/>
      <c r="I235" s="268"/>
      <c r="J235" s="408"/>
      <c r="K235" s="268"/>
      <c r="L235" s="44" t="str">
        <f t="shared" si="4"/>
        <v/>
      </c>
      <c r="M235" s="182"/>
    </row>
    <row r="236" spans="1:13" ht="29.25" hidden="1" customHeight="1" thickBot="1">
      <c r="A236" s="476"/>
      <c r="B236" s="271"/>
      <c r="C236" s="271"/>
      <c r="D236" s="476"/>
      <c r="E236" s="269"/>
      <c r="F236" s="270"/>
      <c r="G236" s="269"/>
      <c r="H236" s="268"/>
      <c r="I236" s="268"/>
      <c r="J236" s="408"/>
      <c r="K236" s="268"/>
      <c r="L236" s="44" t="str">
        <f t="shared" si="4"/>
        <v/>
      </c>
      <c r="M236" s="182"/>
    </row>
    <row r="237" spans="1:13" ht="29.25" hidden="1" customHeight="1" thickBot="1">
      <c r="A237" s="476"/>
      <c r="B237" s="271"/>
      <c r="C237" s="271"/>
      <c r="D237" s="476"/>
      <c r="E237" s="269"/>
      <c r="F237" s="270"/>
      <c r="G237" s="269"/>
      <c r="H237" s="268"/>
      <c r="I237" s="268"/>
      <c r="J237" s="408"/>
      <c r="K237" s="268"/>
      <c r="L237" s="44" t="str">
        <f t="shared" si="4"/>
        <v/>
      </c>
      <c r="M237" s="182"/>
    </row>
    <row r="238" spans="1:13" ht="29.25" hidden="1" customHeight="1" thickBot="1">
      <c r="A238" s="476"/>
      <c r="B238" s="271"/>
      <c r="C238" s="271"/>
      <c r="D238" s="476"/>
      <c r="E238" s="269"/>
      <c r="F238" s="270"/>
      <c r="G238" s="269"/>
      <c r="H238" s="268"/>
      <c r="I238" s="268"/>
      <c r="J238" s="408"/>
      <c r="K238" s="268"/>
      <c r="L238" s="44" t="str">
        <f t="shared" si="4"/>
        <v/>
      </c>
      <c r="M238" s="182"/>
    </row>
    <row r="239" spans="1:13" ht="29.25" hidden="1" customHeight="1" thickBot="1">
      <c r="A239" s="476"/>
      <c r="B239" s="271"/>
      <c r="C239" s="271"/>
      <c r="D239" s="476"/>
      <c r="E239" s="269"/>
      <c r="F239" s="270"/>
      <c r="G239" s="269"/>
      <c r="H239" s="268"/>
      <c r="I239" s="268"/>
      <c r="J239" s="408"/>
      <c r="K239" s="268"/>
      <c r="L239" s="44" t="str">
        <f t="shared" si="4"/>
        <v/>
      </c>
      <c r="M239" s="182"/>
    </row>
    <row r="240" spans="1:13" ht="29.25" hidden="1" customHeight="1" thickBot="1">
      <c r="A240" s="476"/>
      <c r="B240" s="271"/>
      <c r="C240" s="271"/>
      <c r="D240" s="476"/>
      <c r="E240" s="269"/>
      <c r="F240" s="270"/>
      <c r="G240" s="269"/>
      <c r="H240" s="268"/>
      <c r="I240" s="268"/>
      <c r="J240" s="408"/>
      <c r="K240" s="268"/>
      <c r="L240" s="44" t="str">
        <f t="shared" si="4"/>
        <v/>
      </c>
      <c r="M240" s="182"/>
    </row>
    <row r="241" spans="1:13" ht="29.25" hidden="1" customHeight="1" thickBot="1">
      <c r="A241" s="476"/>
      <c r="B241" s="271"/>
      <c r="C241" s="271"/>
      <c r="D241" s="476"/>
      <c r="E241" s="269"/>
      <c r="F241" s="270"/>
      <c r="G241" s="269"/>
      <c r="H241" s="268"/>
      <c r="I241" s="268"/>
      <c r="J241" s="408"/>
      <c r="K241" s="268"/>
      <c r="L241" s="44" t="str">
        <f t="shared" si="4"/>
        <v/>
      </c>
      <c r="M241" s="182"/>
    </row>
    <row r="242" spans="1:13" ht="29.25" hidden="1" customHeight="1" thickBot="1">
      <c r="A242" s="476"/>
      <c r="B242" s="271"/>
      <c r="C242" s="271"/>
      <c r="D242" s="476"/>
      <c r="E242" s="269"/>
      <c r="F242" s="270"/>
      <c r="G242" s="269"/>
      <c r="H242" s="268"/>
      <c r="I242" s="268"/>
      <c r="J242" s="408"/>
      <c r="K242" s="268"/>
      <c r="L242" s="44" t="str">
        <f t="shared" si="4"/>
        <v/>
      </c>
      <c r="M242" s="182"/>
    </row>
    <row r="243" spans="1:13" ht="29.25" hidden="1" customHeight="1" thickBot="1">
      <c r="A243" s="476"/>
      <c r="B243" s="271"/>
      <c r="C243" s="271"/>
      <c r="D243" s="476"/>
      <c r="E243" s="269"/>
      <c r="F243" s="270"/>
      <c r="G243" s="269"/>
      <c r="H243" s="268"/>
      <c r="I243" s="268"/>
      <c r="J243" s="408"/>
      <c r="K243" s="268"/>
      <c r="L243" s="44" t="str">
        <f t="shared" si="4"/>
        <v/>
      </c>
      <c r="M243" s="182"/>
    </row>
    <row r="244" spans="1:13" ht="29.25" hidden="1" customHeight="1" thickBot="1">
      <c r="A244" s="476"/>
      <c r="B244" s="271"/>
      <c r="C244" s="271"/>
      <c r="D244" s="476"/>
      <c r="E244" s="269"/>
      <c r="F244" s="270"/>
      <c r="G244" s="269"/>
      <c r="H244" s="268"/>
      <c r="I244" s="268"/>
      <c r="J244" s="408"/>
      <c r="K244" s="268"/>
      <c r="L244" s="44" t="str">
        <f t="shared" si="4"/>
        <v/>
      </c>
      <c r="M244" s="182"/>
    </row>
    <row r="245" spans="1:13" ht="29.25" hidden="1" customHeight="1" thickBot="1">
      <c r="A245" s="476"/>
      <c r="B245" s="271"/>
      <c r="C245" s="271"/>
      <c r="D245" s="476"/>
      <c r="E245" s="269"/>
      <c r="F245" s="270"/>
      <c r="G245" s="269"/>
      <c r="H245" s="268"/>
      <c r="I245" s="268"/>
      <c r="J245" s="408"/>
      <c r="K245" s="268"/>
      <c r="L245" s="44" t="str">
        <f t="shared" si="4"/>
        <v/>
      </c>
      <c r="M245" s="182"/>
    </row>
    <row r="246" spans="1:13" ht="29.25" hidden="1" customHeight="1" thickBot="1">
      <c r="A246" s="476"/>
      <c r="B246" s="271"/>
      <c r="C246" s="271"/>
      <c r="D246" s="476"/>
      <c r="E246" s="269"/>
      <c r="F246" s="270"/>
      <c r="G246" s="269"/>
      <c r="H246" s="268"/>
      <c r="I246" s="268"/>
      <c r="J246" s="408"/>
      <c r="K246" s="268"/>
      <c r="L246" s="44" t="str">
        <f t="shared" si="4"/>
        <v/>
      </c>
      <c r="M246" s="182"/>
    </row>
    <row r="247" spans="1:13" ht="29.25" hidden="1" customHeight="1" thickBot="1">
      <c r="A247" s="476"/>
      <c r="B247" s="271"/>
      <c r="C247" s="271"/>
      <c r="D247" s="476"/>
      <c r="E247" s="269"/>
      <c r="F247" s="270"/>
      <c r="G247" s="269"/>
      <c r="H247" s="268"/>
      <c r="I247" s="268"/>
      <c r="J247" s="408"/>
      <c r="K247" s="268"/>
      <c r="L247" s="44" t="str">
        <f t="shared" si="4"/>
        <v/>
      </c>
      <c r="M247" s="182"/>
    </row>
    <row r="248" spans="1:13" ht="29.25" hidden="1" customHeight="1" thickBot="1">
      <c r="A248" s="476"/>
      <c r="B248" s="271"/>
      <c r="C248" s="271"/>
      <c r="D248" s="476"/>
      <c r="E248" s="269"/>
      <c r="F248" s="270"/>
      <c r="G248" s="269"/>
      <c r="H248" s="268"/>
      <c r="I248" s="268"/>
      <c r="J248" s="408"/>
      <c r="K248" s="268"/>
      <c r="L248" s="44" t="str">
        <f t="shared" si="4"/>
        <v/>
      </c>
      <c r="M248" s="182"/>
    </row>
    <row r="249" spans="1:13" ht="29.25" hidden="1" customHeight="1" thickBot="1">
      <c r="A249" s="476"/>
      <c r="B249" s="271"/>
      <c r="C249" s="271"/>
      <c r="D249" s="476"/>
      <c r="E249" s="269"/>
      <c r="F249" s="270"/>
      <c r="G249" s="269"/>
      <c r="H249" s="268"/>
      <c r="I249" s="268"/>
      <c r="J249" s="408"/>
      <c r="K249" s="268"/>
      <c r="L249" s="44" t="str">
        <f t="shared" si="4"/>
        <v/>
      </c>
      <c r="M249" s="182"/>
    </row>
    <row r="250" spans="1:13" ht="29.25" hidden="1" customHeight="1" thickBot="1">
      <c r="A250" s="476"/>
      <c r="B250" s="271"/>
      <c r="C250" s="271"/>
      <c r="D250" s="476"/>
      <c r="E250" s="269"/>
      <c r="F250" s="270"/>
      <c r="G250" s="269"/>
      <c r="H250" s="268"/>
      <c r="I250" s="268"/>
      <c r="J250" s="408"/>
      <c r="K250" s="268"/>
      <c r="L250" s="44" t="str">
        <f t="shared" si="4"/>
        <v/>
      </c>
      <c r="M250" s="182"/>
    </row>
    <row r="251" spans="1:13" ht="29.25" hidden="1" customHeight="1" thickBot="1">
      <c r="A251" s="476"/>
      <c r="B251" s="271"/>
      <c r="C251" s="271"/>
      <c r="D251" s="476"/>
      <c r="E251" s="269"/>
      <c r="F251" s="270"/>
      <c r="G251" s="269"/>
      <c r="H251" s="268"/>
      <c r="I251" s="268"/>
      <c r="J251" s="408"/>
      <c r="K251" s="268"/>
      <c r="L251" s="44" t="str">
        <f t="shared" si="4"/>
        <v/>
      </c>
      <c r="M251" s="182"/>
    </row>
    <row r="252" spans="1:13" ht="29.25" hidden="1" customHeight="1" thickBot="1">
      <c r="A252" s="476"/>
      <c r="B252" s="271"/>
      <c r="C252" s="271"/>
      <c r="D252" s="476"/>
      <c r="E252" s="269"/>
      <c r="F252" s="270"/>
      <c r="G252" s="269"/>
      <c r="H252" s="268"/>
      <c r="I252" s="268"/>
      <c r="J252" s="408"/>
      <c r="K252" s="268"/>
      <c r="L252" s="44" t="str">
        <f t="shared" si="4"/>
        <v/>
      </c>
      <c r="M252" s="182"/>
    </row>
    <row r="253" spans="1:13" ht="29.25" hidden="1" customHeight="1" thickBot="1">
      <c r="A253" s="476"/>
      <c r="B253" s="271"/>
      <c r="C253" s="271"/>
      <c r="D253" s="476"/>
      <c r="E253" s="269"/>
      <c r="F253" s="270"/>
      <c r="G253" s="269"/>
      <c r="H253" s="268"/>
      <c r="I253" s="268"/>
      <c r="J253" s="408"/>
      <c r="K253" s="268"/>
      <c r="L253" s="44" t="str">
        <f t="shared" si="4"/>
        <v/>
      </c>
      <c r="M253" s="182"/>
    </row>
    <row r="254" spans="1:13" ht="29.25" hidden="1" customHeight="1" thickBot="1">
      <c r="A254" s="476"/>
      <c r="B254" s="271"/>
      <c r="C254" s="269"/>
      <c r="D254" s="477"/>
      <c r="E254" s="475"/>
      <c r="F254" s="270"/>
      <c r="G254" s="269"/>
      <c r="H254" s="268"/>
      <c r="I254" s="268"/>
      <c r="J254" s="408"/>
      <c r="K254" s="268"/>
      <c r="L254" s="44" t="str">
        <f t="shared" si="4"/>
        <v/>
      </c>
      <c r="M254" s="182"/>
    </row>
    <row r="255" spans="1:13" ht="29.25" hidden="1" customHeight="1" thickBot="1">
      <c r="A255" s="476"/>
      <c r="B255" s="271"/>
      <c r="C255" s="271"/>
      <c r="D255" s="476"/>
      <c r="E255" s="269"/>
      <c r="F255" s="270"/>
      <c r="G255" s="269"/>
      <c r="H255" s="268"/>
      <c r="I255" s="268"/>
      <c r="J255" s="408"/>
      <c r="K255" s="268"/>
      <c r="L255" s="44" t="str">
        <f t="shared" si="4"/>
        <v/>
      </c>
      <c r="M255" s="182"/>
    </row>
    <row r="256" spans="1:13" ht="29.25" hidden="1" customHeight="1" thickBot="1">
      <c r="A256" s="476"/>
      <c r="B256" s="271"/>
      <c r="C256" s="271"/>
      <c r="D256" s="476"/>
      <c r="E256" s="269"/>
      <c r="F256" s="270"/>
      <c r="G256" s="269"/>
      <c r="H256" s="268"/>
      <c r="I256" s="268"/>
      <c r="J256" s="408"/>
      <c r="K256" s="268"/>
      <c r="L256" s="44" t="str">
        <f t="shared" si="4"/>
        <v/>
      </c>
      <c r="M256" s="182"/>
    </row>
    <row r="257" spans="1:15" ht="29.25" hidden="1" customHeight="1" thickBot="1">
      <c r="A257" s="476"/>
      <c r="B257" s="271"/>
      <c r="C257" s="269"/>
      <c r="D257" s="477"/>
      <c r="E257" s="475"/>
      <c r="F257" s="270"/>
      <c r="G257" s="269"/>
      <c r="H257" s="268"/>
      <c r="I257" s="268"/>
      <c r="J257" s="408"/>
      <c r="K257" s="268"/>
      <c r="L257" s="44" t="str">
        <f t="shared" si="4"/>
        <v/>
      </c>
      <c r="M257" s="182"/>
    </row>
    <row r="258" spans="1:15" ht="29.25" hidden="1" customHeight="1" thickBot="1">
      <c r="A258" s="476"/>
      <c r="B258" s="271"/>
      <c r="C258" s="271"/>
      <c r="D258" s="476"/>
      <c r="E258" s="274"/>
      <c r="F258" s="270"/>
      <c r="G258" s="269"/>
      <c r="H258" s="268"/>
      <c r="I258" s="268"/>
      <c r="J258" s="408"/>
      <c r="K258" s="268"/>
      <c r="L258" s="44" t="str">
        <f t="shared" si="4"/>
        <v/>
      </c>
      <c r="M258" s="182"/>
    </row>
    <row r="259" spans="1:15" ht="19" thickBot="1">
      <c r="A259" s="648" t="s">
        <v>66</v>
      </c>
      <c r="B259" s="649"/>
      <c r="C259" s="649"/>
      <c r="D259" s="649"/>
      <c r="E259" s="649"/>
      <c r="F259" s="522"/>
      <c r="G259" s="11"/>
      <c r="H259" s="44">
        <f>SUMIF($C$9:$C$258,"&lt;&gt;Yes",H9:H258)+H8</f>
        <v>45000</v>
      </c>
      <c r="I259" s="44">
        <f>SUMIF($C$9:$C$258,"&lt;&gt;Yes",I9:I258)+I8</f>
        <v>16504481.974845652</v>
      </c>
      <c r="J259" s="44">
        <f>SUMIF($C$9:$C$258,"&lt;&gt;Yes",J9:J258)+J8</f>
        <v>5595518.4044646854</v>
      </c>
      <c r="K259" s="44">
        <f>SUMIF($C$9:$C$258,"&lt;&gt;Yes",K9:K258)+K8</f>
        <v>0</v>
      </c>
      <c r="L259" s="44">
        <f>SUMIF($C$9:$C$258,"&lt;&gt;Yes",L9:L258)+L8</f>
        <v>22775000.379310332</v>
      </c>
      <c r="M259" s="234"/>
      <c r="N259" s="105"/>
      <c r="O259" s="105"/>
    </row>
    <row r="260" spans="1:15" ht="35.25" customHeight="1" thickBot="1">
      <c r="A260" s="237"/>
      <c r="B260" s="238"/>
      <c r="C260" s="385"/>
      <c r="D260" s="386"/>
      <c r="E260" s="386"/>
      <c r="F260" s="386"/>
      <c r="G260" s="386"/>
      <c r="H260" s="387"/>
      <c r="I260" s="387"/>
      <c r="J260" s="387"/>
      <c r="K260" s="388"/>
      <c r="L260" s="239"/>
    </row>
    <row r="261" spans="1:15" ht="15.75" customHeight="1">
      <c r="A261" s="653" t="s">
        <v>123</v>
      </c>
      <c r="B261" s="565"/>
      <c r="C261" s="565"/>
      <c r="D261" s="565"/>
      <c r="E261" s="565"/>
      <c r="F261" s="565"/>
      <c r="G261" s="565"/>
      <c r="H261" s="565"/>
      <c r="I261" s="565"/>
      <c r="J261" s="565"/>
      <c r="K261" s="565"/>
      <c r="L261" s="566"/>
    </row>
    <row r="262" spans="1:15" s="45" customFormat="1" ht="17.25" customHeight="1">
      <c r="A262" s="582" t="s">
        <v>148</v>
      </c>
      <c r="B262" s="646"/>
      <c r="C262" s="646"/>
      <c r="D262" s="646"/>
      <c r="E262" s="646"/>
      <c r="F262" s="646"/>
      <c r="G262" s="646"/>
      <c r="H262" s="646"/>
      <c r="I262" s="646"/>
      <c r="J262" s="646"/>
      <c r="K262" s="646"/>
      <c r="L262" s="647"/>
    </row>
    <row r="263" spans="1:15" s="45" customFormat="1" ht="32.25" customHeight="1">
      <c r="A263" s="650" t="str">
        <f>IF('Summary Schedule'!C4="Direct-Funded",CONCATENATE("(2)  Implementation Cost shall include only direct costs for each ECM and no post-acceptance performance period expenses."," Mark-up are added to each of the ECMs and include direct and indirect costs as well as profit"),IF('Summary Schedule'!C4="UESC",CONCATENATE("(2)  Implementation Cost shall include only direct costs for each ECM and no post-acceptance performance period expenses."," Mark-up are added to each of the ECMs and include direct and indirect costs as well as profit",""),CONCATENATE("(2)  Cost of Goods and Services (Base Construction) shall include only direct costs for each ECM and no post-acceptance performance period expenses."," Project Implementation Delivery Charges are added to each of the ECMs and include direct and indirect costs as well as profit."," For IDIQ ESPC projects, Cost of Goods and Services and Project Implementation Delivery Charges are itemized in Schedule-2b.")))</f>
        <v>(2)  Cost of Goods and Services (Base Construction) shall include only direct costs for each ECM and no post-acceptance performance period expenses. Project Implementation Delivery Charges are added to each of the ECMs and include direct and indirect costs as well as profit. For IDIQ ESPC projects, Cost of Goods and Services and Project Implementation Delivery Charges are itemized in Schedule-2b.</v>
      </c>
      <c r="B263" s="651"/>
      <c r="C263" s="651"/>
      <c r="D263" s="651"/>
      <c r="E263" s="651"/>
      <c r="F263" s="651"/>
      <c r="G263" s="651"/>
      <c r="H263" s="651"/>
      <c r="I263" s="651"/>
      <c r="J263" s="651"/>
      <c r="K263" s="651"/>
      <c r="L263" s="652"/>
    </row>
    <row r="264" spans="1:15" s="45" customFormat="1" ht="18" customHeight="1">
      <c r="A264" s="582" t="s">
        <v>297</v>
      </c>
      <c r="B264" s="646"/>
      <c r="C264" s="646"/>
      <c r="D264" s="646"/>
      <c r="E264" s="646"/>
      <c r="F264" s="646"/>
      <c r="G264" s="646"/>
      <c r="H264" s="646"/>
      <c r="I264" s="646"/>
      <c r="J264" s="646"/>
      <c r="K264" s="646"/>
      <c r="L264" s="647"/>
    </row>
    <row r="265" spans="1:15" s="45" customFormat="1" ht="31.5" customHeight="1">
      <c r="A265" s="650" t="s">
        <v>319</v>
      </c>
      <c r="B265" s="651"/>
      <c r="C265" s="651"/>
      <c r="D265" s="651"/>
      <c r="E265" s="651"/>
      <c r="F265" s="651"/>
      <c r="G265" s="651"/>
      <c r="H265" s="651"/>
      <c r="I265" s="651"/>
      <c r="J265" s="651"/>
      <c r="K265" s="651"/>
      <c r="L265" s="652"/>
    </row>
    <row r="266" spans="1:15" s="45" customFormat="1" ht="18" customHeight="1">
      <c r="A266" s="646" t="s">
        <v>276</v>
      </c>
      <c r="B266" s="646"/>
      <c r="C266" s="646"/>
      <c r="D266" s="646"/>
      <c r="E266" s="646"/>
      <c r="F266" s="646"/>
      <c r="G266" s="646"/>
      <c r="H266" s="646"/>
      <c r="I266" s="646"/>
      <c r="J266" s="646"/>
      <c r="K266" s="646"/>
      <c r="L266" s="647"/>
    </row>
    <row r="267" spans="1:15" s="45" customFormat="1" ht="18" customHeight="1">
      <c r="A267" s="646" t="str">
        <f>IF(OR('Summary Schedule'!C3="Direct-Funded", 'Summary Schedule'!C3="UESC"),"", "(6) The sum of M&amp;V expenses for each ECM equals the sum of items b and j on Schedule-2b.  These expenses are already included in the Base Construction Cost and Project Implementation Delivery Charge.")</f>
        <v>(6) The sum of M&amp;V expenses for each ECM equals the sum of items b and j on Schedule-2b.  These expenses are already included in the Base Construction Cost and Project Implementation Delivery Charge.</v>
      </c>
      <c r="B267" s="646"/>
      <c r="C267" s="646"/>
      <c r="D267" s="646"/>
      <c r="E267" s="646"/>
      <c r="F267" s="646"/>
      <c r="G267" s="646"/>
      <c r="H267" s="646"/>
      <c r="I267" s="646"/>
      <c r="J267" s="646"/>
      <c r="K267" s="646"/>
      <c r="L267" s="647"/>
    </row>
    <row r="268" spans="1:15" s="45" customFormat="1" ht="48" customHeight="1" thickBot="1">
      <c r="A268" s="643" t="s">
        <v>421</v>
      </c>
      <c r="B268" s="644"/>
      <c r="C268" s="644"/>
      <c r="D268" s="644"/>
      <c r="E268" s="644"/>
      <c r="F268" s="644"/>
      <c r="G268" s="644"/>
      <c r="H268" s="644"/>
      <c r="I268" s="644"/>
      <c r="J268" s="644"/>
      <c r="K268" s="644"/>
      <c r="L268" s="645"/>
    </row>
    <row r="269" spans="1:15" s="45" customFormat="1" ht="16" customHeight="1">
      <c r="A269" s="552" t="s">
        <v>173</v>
      </c>
      <c r="B269" s="553"/>
      <c r="C269" s="553"/>
      <c r="D269" s="553"/>
      <c r="E269" s="553"/>
      <c r="F269" s="553"/>
      <c r="G269" s="553"/>
      <c r="H269" s="553"/>
      <c r="I269" s="540"/>
      <c r="J269" s="540"/>
      <c r="K269" s="540"/>
      <c r="L269" s="554"/>
    </row>
    <row r="270" spans="1:15" ht="94" customHeight="1" thickBot="1">
      <c r="A270" s="548"/>
      <c r="B270" s="549"/>
      <c r="C270" s="549"/>
      <c r="D270" s="549"/>
      <c r="E270" s="549"/>
      <c r="F270" s="549"/>
      <c r="G270" s="549"/>
      <c r="H270" s="549"/>
      <c r="I270" s="549"/>
      <c r="J270" s="549"/>
      <c r="K270" s="549"/>
      <c r="L270" s="586"/>
    </row>
    <row r="271" spans="1:15">
      <c r="A271" s="20" t="str">
        <f>'Summary Schedule'!A53</f>
        <v>4.1.5.c</v>
      </c>
    </row>
    <row r="272" spans="1:15">
      <c r="A272" s="20" t="str">
        <f>'Summary Schedule'!A54</f>
        <v>04232024</v>
      </c>
    </row>
  </sheetData>
  <mergeCells count="31">
    <mergeCell ref="A1:L1"/>
    <mergeCell ref="A2:L2"/>
    <mergeCell ref="A3:L3"/>
    <mergeCell ref="I6:I7"/>
    <mergeCell ref="K6:K7"/>
    <mergeCell ref="K4:K5"/>
    <mergeCell ref="J6:J7"/>
    <mergeCell ref="J4:J5"/>
    <mergeCell ref="E4:E7"/>
    <mergeCell ref="A4:A7"/>
    <mergeCell ref="D4:D7"/>
    <mergeCell ref="I4:I5"/>
    <mergeCell ref="F4:F7"/>
    <mergeCell ref="H4:H7"/>
    <mergeCell ref="B4:B7"/>
    <mergeCell ref="L4:L5"/>
    <mergeCell ref="L6:L7"/>
    <mergeCell ref="A270:L270"/>
    <mergeCell ref="A269:L269"/>
    <mergeCell ref="A268:L268"/>
    <mergeCell ref="A262:L262"/>
    <mergeCell ref="A264:L264"/>
    <mergeCell ref="A266:L266"/>
    <mergeCell ref="A259:F259"/>
    <mergeCell ref="A265:L265"/>
    <mergeCell ref="A263:L263"/>
    <mergeCell ref="A261:L261"/>
    <mergeCell ref="A8:K8"/>
    <mergeCell ref="G4:G7"/>
    <mergeCell ref="C4:C7"/>
    <mergeCell ref="A267:L267"/>
  </mergeCells>
  <conditionalFormatting sqref="A9:K258">
    <cfRule type="expression" dxfId="4" priority="1">
      <formula>$C9:$C258="Yes"</formula>
    </cfRule>
  </conditionalFormatting>
  <conditionalFormatting sqref="H260:L260">
    <cfRule type="containsBlanks" dxfId="3" priority="4">
      <formula>LEN(TRIM(H260))=0</formula>
    </cfRule>
  </conditionalFormatting>
  <dataValidations count="5">
    <dataValidation type="textLength" showInputMessage="1" showErrorMessage="1" sqref="D16:D258" xr:uid="{00000000-0002-0000-0700-000000000000}">
      <formula1>1</formula1>
      <formula2>200</formula2>
    </dataValidation>
    <dataValidation type="list" allowBlank="1" showInputMessage="1" showErrorMessage="1" sqref="C15:C258" xr:uid="{00000000-0002-0000-0700-000001000000}">
      <formula1>"Yes, No"</formula1>
    </dataValidation>
    <dataValidation type="decimal" operator="lessThanOrEqual" allowBlank="1" showInputMessage="1" showErrorMessage="1" sqref="F15:F258" xr:uid="{00000000-0002-0000-0700-000002000000}">
      <formula1>1</formula1>
    </dataValidation>
    <dataValidation type="decimal" operator="lessThan" allowBlank="1" showInputMessage="1" showErrorMessage="1" error="Please enter a percentage between 0% and 100%." sqref="F9:F14" xr:uid="{C4BE9C12-9748-404A-AA47-1D7CB0897C4C}">
      <formula1>1.01</formula1>
    </dataValidation>
    <dataValidation type="list" allowBlank="1" showInputMessage="1" showErrorMessage="1" error="This column is only applicable for federal ESA projects." sqref="C9:C14" xr:uid="{CC21EF18-BE37-CA4E-885E-CF7CB8E111D1}">
      <formula1>"Yes, No"</formula1>
    </dataValidation>
  </dataValidations>
  <pageMargins left="0.75" right="0.75" top="1" bottom="1" header="0.5" footer="0.5"/>
  <pageSetup scale="40" fitToHeight="0"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ECM!$A$3:$A$22</xm:f>
          </x14:formula1>
          <xm:sqref>A15:A258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30"/>
  <sheetViews>
    <sheetView topLeftCell="A7" zoomScale="90" zoomScaleNormal="90" zoomScalePageLayoutView="75" workbookViewId="0">
      <selection activeCell="E13" sqref="E13"/>
    </sheetView>
  </sheetViews>
  <sheetFormatPr baseColWidth="10" defaultColWidth="11" defaultRowHeight="16"/>
  <cols>
    <col min="1" max="1" width="12.5" bestFit="1" customWidth="1"/>
    <col min="3" max="3" width="31.5" customWidth="1"/>
    <col min="4" max="4" width="55.5" customWidth="1"/>
    <col min="5" max="5" width="19" customWidth="1"/>
    <col min="6" max="6" width="19.33203125" customWidth="1"/>
    <col min="7" max="7" width="30.83203125" customWidth="1"/>
    <col min="8" max="8" width="19.5" customWidth="1"/>
    <col min="9" max="9" width="11" bestFit="1" customWidth="1"/>
  </cols>
  <sheetData>
    <row r="1" spans="1:11" s="20" customFormat="1" ht="20.25" customHeight="1">
      <c r="A1" s="502" t="s">
        <v>263</v>
      </c>
      <c r="B1" s="502"/>
      <c r="C1" s="502"/>
      <c r="D1" s="502"/>
      <c r="E1" s="502"/>
      <c r="F1" s="502"/>
      <c r="G1" s="570"/>
      <c r="H1" s="570"/>
    </row>
    <row r="2" spans="1:11" s="20" customFormat="1" ht="21" customHeight="1" thickBot="1">
      <c r="A2" s="516" t="s">
        <v>245</v>
      </c>
      <c r="B2" s="516"/>
      <c r="C2" s="516"/>
      <c r="D2" s="516"/>
      <c r="E2" s="516"/>
      <c r="F2" s="516"/>
      <c r="G2" s="531"/>
      <c r="H2" s="531"/>
    </row>
    <row r="3" spans="1:11" ht="56.25" customHeight="1" thickBot="1">
      <c r="A3" s="688"/>
      <c r="B3" s="113"/>
      <c r="C3" s="113" t="s">
        <v>274</v>
      </c>
      <c r="D3" s="223" t="s">
        <v>273</v>
      </c>
      <c r="E3" s="113" t="s">
        <v>299</v>
      </c>
      <c r="F3" s="221" t="s">
        <v>265</v>
      </c>
      <c r="G3" s="235" t="s">
        <v>266</v>
      </c>
      <c r="H3" s="221" t="s">
        <v>317</v>
      </c>
    </row>
    <row r="4" spans="1:11" ht="46" thickBot="1">
      <c r="A4" s="689"/>
      <c r="B4" s="222" t="s">
        <v>246</v>
      </c>
      <c r="C4" s="213" t="s">
        <v>298</v>
      </c>
      <c r="D4" s="230" t="s">
        <v>271</v>
      </c>
      <c r="E4" s="224"/>
      <c r="F4" s="272">
        <v>12003361</v>
      </c>
      <c r="G4" s="207"/>
      <c r="H4" s="243"/>
    </row>
    <row r="5" spans="1:11" ht="31" thickBot="1">
      <c r="A5" s="689"/>
      <c r="B5" s="214" t="s">
        <v>247</v>
      </c>
      <c r="C5" s="213" t="s">
        <v>269</v>
      </c>
      <c r="D5" s="240" t="s">
        <v>300</v>
      </c>
      <c r="E5" s="224"/>
      <c r="F5" s="272">
        <v>41983</v>
      </c>
      <c r="G5" s="211" t="str">
        <f>IF(F5&gt;'Sch2a-Imp Price by ECM'!H259,"High M&amp;V Equipment Costs", "")</f>
        <v/>
      </c>
      <c r="H5" s="244"/>
    </row>
    <row r="6" spans="1:11" ht="17" thickBot="1">
      <c r="A6" s="689"/>
      <c r="B6" s="214" t="s">
        <v>248</v>
      </c>
      <c r="C6" s="215" t="s">
        <v>270</v>
      </c>
      <c r="D6" s="231" t="s">
        <v>272</v>
      </c>
      <c r="E6" s="224"/>
      <c r="F6" s="272">
        <v>500000</v>
      </c>
      <c r="G6" s="207"/>
      <c r="H6" s="244"/>
    </row>
    <row r="7" spans="1:11" ht="61" thickBot="1">
      <c r="A7" s="690"/>
      <c r="B7" s="214" t="s">
        <v>249</v>
      </c>
      <c r="C7" s="215" t="s">
        <v>314</v>
      </c>
      <c r="D7" s="240" t="s">
        <v>301</v>
      </c>
      <c r="E7" s="224"/>
      <c r="F7" s="272">
        <v>3959138</v>
      </c>
      <c r="G7" s="207"/>
      <c r="H7" s="245"/>
    </row>
    <row r="8" spans="1:11" ht="44.25" customHeight="1" thickBot="1">
      <c r="A8" s="108" t="s">
        <v>261</v>
      </c>
      <c r="B8" s="214" t="s">
        <v>250</v>
      </c>
      <c r="C8" s="691" t="s">
        <v>302</v>
      </c>
      <c r="D8" s="692"/>
      <c r="E8" s="224"/>
      <c r="F8" s="228">
        <f>SUM(F4:F7)</f>
        <v>16504482</v>
      </c>
      <c r="G8" s="236" t="str">
        <f>IF(ROUND(F8,0)=ROUND('Sch2a-Imp Price by ECM'!I259,0),"","Cost of Goods and Services (Base Construction) Mismatch")</f>
        <v/>
      </c>
      <c r="H8" s="228">
        <f>'Sch2a-Imp Price by ECM'!I259</f>
        <v>16504481.974845652</v>
      </c>
      <c r="K8" s="20"/>
    </row>
    <row r="9" spans="1:11" ht="37" thickBot="1">
      <c r="A9" s="204"/>
      <c r="B9" s="214" t="s">
        <v>251</v>
      </c>
      <c r="C9" s="215" t="s">
        <v>252</v>
      </c>
      <c r="D9" s="241" t="s">
        <v>303</v>
      </c>
      <c r="E9" s="282">
        <v>0.03</v>
      </c>
      <c r="F9" s="225">
        <f>E9*$F$8</f>
        <v>495134.45999999996</v>
      </c>
      <c r="G9" s="207"/>
      <c r="H9" s="246"/>
    </row>
    <row r="10" spans="1:11" ht="25" thickBot="1">
      <c r="A10" s="205"/>
      <c r="B10" s="214" t="s">
        <v>253</v>
      </c>
      <c r="C10" s="215" t="s">
        <v>254</v>
      </c>
      <c r="D10" s="231" t="s">
        <v>304</v>
      </c>
      <c r="E10" s="282">
        <v>0.05</v>
      </c>
      <c r="F10" s="225">
        <f>E10*$F$8</f>
        <v>825224.10000000009</v>
      </c>
      <c r="G10" s="209"/>
      <c r="H10" s="247"/>
    </row>
    <row r="11" spans="1:11" ht="49" thickBot="1">
      <c r="A11" s="205"/>
      <c r="B11" s="214" t="s">
        <v>38</v>
      </c>
      <c r="C11" s="215" t="s">
        <v>305</v>
      </c>
      <c r="D11" s="231" t="s">
        <v>275</v>
      </c>
      <c r="E11" s="282">
        <v>5.0000000000000001E-3</v>
      </c>
      <c r="F11" s="225">
        <f>E11*$F$8</f>
        <v>82522.41</v>
      </c>
      <c r="G11" s="210"/>
      <c r="H11" s="247"/>
    </row>
    <row r="12" spans="1:11" ht="202.5" customHeight="1" thickBot="1">
      <c r="A12" s="205"/>
      <c r="B12" s="214" t="s">
        <v>39</v>
      </c>
      <c r="C12" s="215" t="s">
        <v>277</v>
      </c>
      <c r="D12" s="231" t="s">
        <v>306</v>
      </c>
      <c r="E12" s="282">
        <v>1.7500000000000002E-2</v>
      </c>
      <c r="F12" s="225">
        <f>E12*$F$8</f>
        <v>288828.43500000006</v>
      </c>
      <c r="G12" s="207"/>
      <c r="H12" s="247"/>
    </row>
    <row r="13" spans="1:11" ht="85" thickBot="1">
      <c r="A13" s="205"/>
      <c r="B13" s="214" t="s">
        <v>40</v>
      </c>
      <c r="C13" s="215" t="s">
        <v>278</v>
      </c>
      <c r="D13" s="231" t="s">
        <v>307</v>
      </c>
      <c r="E13" s="282">
        <v>1.6530210096869412E-2</v>
      </c>
      <c r="F13" s="225">
        <f>E13*$F$8</f>
        <v>272822.55499999947</v>
      </c>
      <c r="G13" s="207"/>
      <c r="H13" s="247"/>
      <c r="J13" s="229"/>
    </row>
    <row r="14" spans="1:11" ht="25" thickBot="1">
      <c r="A14" s="216"/>
      <c r="B14" s="214" t="s">
        <v>80</v>
      </c>
      <c r="C14" s="215" t="s">
        <v>308</v>
      </c>
      <c r="D14" s="242" t="s">
        <v>310</v>
      </c>
      <c r="E14" s="283">
        <v>0.14000000000000001</v>
      </c>
      <c r="F14" s="225">
        <f t="shared" ref="F14:F15" si="0">E14*$F$8</f>
        <v>2310627.4800000004</v>
      </c>
      <c r="G14" s="207"/>
      <c r="H14" s="247"/>
    </row>
    <row r="15" spans="1:11" ht="25" thickBot="1">
      <c r="A15" s="216"/>
      <c r="B15" s="214" t="s">
        <v>255</v>
      </c>
      <c r="C15" s="215" t="s">
        <v>309</v>
      </c>
      <c r="D15" s="242" t="s">
        <v>311</v>
      </c>
      <c r="E15" s="283">
        <v>0.08</v>
      </c>
      <c r="F15" s="225">
        <f t="shared" si="0"/>
        <v>1320358.56</v>
      </c>
      <c r="G15" s="208"/>
      <c r="H15" s="248"/>
    </row>
    <row r="16" spans="1:11" ht="29.25" customHeight="1" thickBot="1">
      <c r="A16" s="217" t="s">
        <v>259</v>
      </c>
      <c r="B16" s="214" t="s">
        <v>82</v>
      </c>
      <c r="C16" s="691" t="s">
        <v>316</v>
      </c>
      <c r="D16" s="692"/>
      <c r="E16" s="232">
        <f>IF(F8=0,"",F16/F8)</f>
        <v>0.33903021009686946</v>
      </c>
      <c r="F16" s="226">
        <f>SUM(F9:F15)</f>
        <v>5595518</v>
      </c>
      <c r="G16" s="211" t="str">
        <f>IF((ROUND(F16,-2))=ROUND('Sch2a-Imp Price by ECM'!J259,-2),"","Project Implementation Delivery Charge Mismatch")</f>
        <v/>
      </c>
      <c r="H16" s="226">
        <f>'Sch2a-Imp Price by ECM'!J259</f>
        <v>5595518.4044646854</v>
      </c>
    </row>
    <row r="17" spans="1:8" ht="17" thickBot="1">
      <c r="A17" s="204"/>
      <c r="B17" s="214" t="s">
        <v>256</v>
      </c>
      <c r="C17" s="691" t="s">
        <v>324</v>
      </c>
      <c r="D17" s="692"/>
      <c r="E17" s="224"/>
      <c r="F17" s="227">
        <f>'Sch2a-Imp Price by ECM'!L8</f>
        <v>675000</v>
      </c>
      <c r="G17" s="207"/>
      <c r="H17" s="227">
        <f>'Sch2a-Imp Price by ECM'!L8</f>
        <v>675000</v>
      </c>
    </row>
    <row r="18" spans="1:8" ht="17" thickBot="1">
      <c r="A18" s="206"/>
      <c r="B18" s="214" t="s">
        <v>257</v>
      </c>
      <c r="C18" s="691" t="s">
        <v>33</v>
      </c>
      <c r="D18" s="692"/>
      <c r="E18" s="224"/>
      <c r="F18" s="227">
        <f>'Sch2a-Imp Price by ECM'!K259</f>
        <v>0</v>
      </c>
      <c r="G18" s="207"/>
      <c r="H18" s="227">
        <f>'Sch2a-Imp Price by ECM'!K259</f>
        <v>0</v>
      </c>
    </row>
    <row r="19" spans="1:8" ht="49" customHeight="1" thickBot="1">
      <c r="A19" s="108" t="s">
        <v>260</v>
      </c>
      <c r="B19" s="214" t="s">
        <v>258</v>
      </c>
      <c r="C19" s="691" t="s">
        <v>262</v>
      </c>
      <c r="D19" s="692"/>
      <c r="E19" s="224"/>
      <c r="F19" s="233">
        <f>'Sch2a-Imp Price by ECM'!L259*0+F8+F16+F17-F18</f>
        <v>22775000</v>
      </c>
      <c r="G19" s="212" t="str">
        <f>IF(ROUND(F19,-2)=ROUND('Sch2a-Imp Price by ECM'!L259,-2),"","Implementation Price Mismatch")</f>
        <v/>
      </c>
      <c r="H19" s="233">
        <f>'Sch2a-Imp Price by ECM'!L259</f>
        <v>22775000.379310332</v>
      </c>
    </row>
    <row r="20" spans="1:8" ht="17" thickBot="1">
      <c r="A20" s="218"/>
      <c r="B20" s="219"/>
      <c r="C20" s="219"/>
      <c r="D20" s="219"/>
      <c r="E20" s="219"/>
      <c r="F20" s="219"/>
      <c r="G20" s="220"/>
      <c r="H20" s="219"/>
    </row>
    <row r="21" spans="1:8">
      <c r="A21" s="682" t="s">
        <v>15</v>
      </c>
      <c r="B21" s="683"/>
      <c r="C21" s="683"/>
      <c r="D21" s="683"/>
      <c r="E21" s="683"/>
      <c r="F21" s="683"/>
      <c r="G21" s="684"/>
      <c r="H21" s="554"/>
    </row>
    <row r="22" spans="1:8" ht="19" customHeight="1">
      <c r="A22" s="685" t="s">
        <v>312</v>
      </c>
      <c r="B22" s="686"/>
      <c r="C22" s="686"/>
      <c r="D22" s="686"/>
      <c r="E22" s="686"/>
      <c r="F22" s="686"/>
      <c r="G22" s="687"/>
      <c r="H22" s="583"/>
    </row>
    <row r="23" spans="1:8">
      <c r="A23" s="582"/>
      <c r="B23" s="646"/>
      <c r="C23" s="646"/>
      <c r="D23" s="646"/>
      <c r="E23" s="646"/>
      <c r="F23" s="646"/>
      <c r="G23" s="646"/>
      <c r="H23" s="583"/>
    </row>
    <row r="24" spans="1:8">
      <c r="A24" s="582"/>
      <c r="B24" s="646"/>
      <c r="C24" s="646"/>
      <c r="D24" s="646"/>
      <c r="E24" s="646"/>
      <c r="F24" s="646"/>
      <c r="G24" s="646"/>
      <c r="H24" s="583"/>
    </row>
    <row r="25" spans="1:8">
      <c r="A25" s="672"/>
      <c r="B25" s="673"/>
      <c r="C25" s="673"/>
      <c r="D25" s="673"/>
      <c r="E25" s="673"/>
      <c r="F25" s="673"/>
      <c r="G25" s="674"/>
      <c r="H25" s="583"/>
    </row>
    <row r="26" spans="1:8" ht="17" thickBot="1">
      <c r="A26" s="675"/>
      <c r="B26" s="676"/>
      <c r="C26" s="676"/>
      <c r="D26" s="676"/>
      <c r="E26" s="676"/>
      <c r="F26" s="676"/>
      <c r="G26" s="676"/>
      <c r="H26" s="594"/>
    </row>
    <row r="27" spans="1:8">
      <c r="A27" s="677" t="s">
        <v>173</v>
      </c>
      <c r="B27" s="678"/>
      <c r="C27" s="678"/>
      <c r="D27" s="678"/>
      <c r="E27" s="678"/>
      <c r="F27" s="678"/>
      <c r="G27" s="540"/>
      <c r="H27" s="554"/>
    </row>
    <row r="28" spans="1:8" ht="69" customHeight="1" thickBot="1">
      <c r="A28" s="679"/>
      <c r="B28" s="680"/>
      <c r="C28" s="680"/>
      <c r="D28" s="680"/>
      <c r="E28" s="680"/>
      <c r="F28" s="680"/>
      <c r="G28" s="681"/>
      <c r="H28" s="594"/>
    </row>
    <row r="29" spans="1:8">
      <c r="A29" t="str">
        <f>'Sch2a-Imp Price by ECM'!A271</f>
        <v>4.1.5.c</v>
      </c>
    </row>
    <row r="30" spans="1:8">
      <c r="A30" t="str">
        <f>'Sch2a-Imp Price by ECM'!A272</f>
        <v>04232024</v>
      </c>
    </row>
  </sheetData>
  <mergeCells count="16">
    <mergeCell ref="A1:H1"/>
    <mergeCell ref="A25:H25"/>
    <mergeCell ref="A26:H26"/>
    <mergeCell ref="A27:H27"/>
    <mergeCell ref="A28:H28"/>
    <mergeCell ref="A2:H2"/>
    <mergeCell ref="A21:H21"/>
    <mergeCell ref="A22:H22"/>
    <mergeCell ref="A23:H23"/>
    <mergeCell ref="A24:H24"/>
    <mergeCell ref="A3:A7"/>
    <mergeCell ref="C8:D8"/>
    <mergeCell ref="C16:D16"/>
    <mergeCell ref="C17:D17"/>
    <mergeCell ref="C18:D18"/>
    <mergeCell ref="C19:D19"/>
  </mergeCells>
  <dataValidations count="3">
    <dataValidation type="decimal" allowBlank="1" showInputMessage="1" showErrorMessage="1" errorTitle="Data Input Error" error="Please enter a percentage value between 0 and 100." sqref="E9:E14" xr:uid="{00000000-0002-0000-0800-000000000000}">
      <formula1>0</formula1>
      <formula2>1</formula2>
    </dataValidation>
    <dataValidation allowBlank="1" showInputMessage="1" showErrorMessage="1" errorTitle="Data Input Error" error="Please enter a percentage value between 0 and 100." sqref="E15" xr:uid="{00000000-0002-0000-0800-000001000000}"/>
    <dataValidation type="decimal" allowBlank="1" showInputMessage="1" showErrorMessage="1" errorTitle="Data Input Error" error="Please enter a dollar value " sqref="F4:F7" xr:uid="{00000000-0002-0000-0800-000002000000}">
      <formula1>0</formula1>
      <formula2>1000000000000</formula2>
    </dataValidation>
  </dataValidations>
  <pageMargins left="0.75" right="0.75" top="1" bottom="1" header="0.5" footer="0.5"/>
  <pageSetup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3" id="{E3813D07-E15C-6542-8F9C-97BEFF1D2348}">
            <xm:f>AND('Summary Schedule'!$C$4&lt;&gt;"ESA", 'Summary Schedule'!$C$4&lt;&gt;"Guaranteed Savings")</xm:f>
            <x14:dxf>
              <font>
                <color theme="0" tint="-0.24994659260841701"/>
              </font>
              <fill>
                <patternFill patternType="solid">
                  <fgColor theme="0" tint="-0.24994659260841701"/>
                  <bgColor theme="0" tint="-0.24994659260841701"/>
                </patternFill>
              </fill>
              <border>
                <left/>
                <right/>
                <top/>
                <bottom/>
                <vertical/>
                <horizontal/>
              </border>
            </x14:dxf>
          </x14:cfRule>
          <xm:sqref>A1:H30</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R49"/>
  <sheetViews>
    <sheetView topLeftCell="C1" zoomScale="90" zoomScaleNormal="90" zoomScalePageLayoutView="200" workbookViewId="0">
      <selection activeCell="D21" sqref="D21"/>
    </sheetView>
  </sheetViews>
  <sheetFormatPr baseColWidth="10" defaultColWidth="11" defaultRowHeight="16"/>
  <cols>
    <col min="1" max="1" width="21.5" style="41" customWidth="1"/>
    <col min="2" max="2" width="29.5" style="41" customWidth="1"/>
    <col min="3" max="3" width="19.33203125" style="41" customWidth="1"/>
    <col min="4" max="19" width="14.5" style="41" customWidth="1"/>
    <col min="20" max="28" width="14.5" style="20" customWidth="1"/>
    <col min="29" max="29" width="17.1640625" style="20" customWidth="1"/>
    <col min="30" max="43" width="14.5" style="20" customWidth="1"/>
    <col min="44" max="44" width="17" style="20" bestFit="1" customWidth="1"/>
    <col min="45" max="16384" width="11" style="20"/>
  </cols>
  <sheetData>
    <row r="1" spans="1:44" ht="20.25" customHeight="1">
      <c r="A1" s="699" t="s">
        <v>267</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row>
    <row r="2" spans="1:44" ht="15.75" customHeight="1" thickBot="1">
      <c r="A2" s="700" t="s">
        <v>87</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row>
    <row r="3" spans="1:44" ht="17" thickBot="1">
      <c r="A3" s="21"/>
      <c r="B3" s="22"/>
      <c r="C3" s="22"/>
      <c r="D3" s="22"/>
      <c r="E3" s="22"/>
      <c r="F3" s="22"/>
      <c r="G3" s="22"/>
      <c r="H3" s="22"/>
      <c r="I3" s="23"/>
      <c r="J3" s="24"/>
      <c r="K3" s="24"/>
      <c r="L3" s="24"/>
      <c r="M3" s="24"/>
      <c r="N3" s="24"/>
      <c r="O3" s="24"/>
      <c r="P3" s="24"/>
      <c r="Q3" s="24"/>
      <c r="R3" s="24"/>
      <c r="S3" s="24"/>
      <c r="T3" s="25"/>
      <c r="U3" s="25"/>
      <c r="V3" s="25"/>
      <c r="W3" s="25"/>
      <c r="X3" s="25"/>
      <c r="Y3" s="25"/>
      <c r="Z3" s="25"/>
      <c r="AA3" s="25"/>
      <c r="AB3" s="25"/>
      <c r="AC3" s="25"/>
      <c r="AD3" s="25"/>
      <c r="AE3" s="25"/>
      <c r="AF3" s="25"/>
      <c r="AG3" s="25"/>
      <c r="AH3" s="25"/>
      <c r="AI3" s="25"/>
      <c r="AJ3" s="25"/>
      <c r="AK3" s="25"/>
      <c r="AL3" s="25"/>
      <c r="AM3" s="25"/>
      <c r="AN3" s="25"/>
      <c r="AO3" s="25"/>
      <c r="AP3" s="25"/>
      <c r="AQ3" s="25"/>
      <c r="AR3" s="26"/>
    </row>
    <row r="4" spans="1:44" ht="31" thickBot="1">
      <c r="A4" s="27"/>
      <c r="B4" s="28" t="s">
        <v>244</v>
      </c>
      <c r="C4" s="29" t="s">
        <v>155</v>
      </c>
      <c r="D4" s="29">
        <v>1</v>
      </c>
      <c r="E4" s="29">
        <v>2</v>
      </c>
      <c r="F4" s="29">
        <v>3</v>
      </c>
      <c r="G4" s="28">
        <v>4</v>
      </c>
      <c r="H4" s="29">
        <v>5</v>
      </c>
      <c r="I4" s="29">
        <v>6</v>
      </c>
      <c r="J4" s="29">
        <v>7</v>
      </c>
      <c r="K4" s="29">
        <v>8</v>
      </c>
      <c r="L4" s="29">
        <v>9</v>
      </c>
      <c r="M4" s="29">
        <v>10</v>
      </c>
      <c r="N4" s="29">
        <v>11</v>
      </c>
      <c r="O4" s="29">
        <v>12</v>
      </c>
      <c r="P4" s="29">
        <v>13</v>
      </c>
      <c r="Q4" s="29">
        <v>14</v>
      </c>
      <c r="R4" s="29">
        <v>15</v>
      </c>
      <c r="S4" s="29">
        <v>16</v>
      </c>
      <c r="T4" s="29">
        <v>17</v>
      </c>
      <c r="U4" s="29">
        <v>18</v>
      </c>
      <c r="V4" s="29">
        <v>19</v>
      </c>
      <c r="W4" s="29">
        <v>20</v>
      </c>
      <c r="X4" s="29">
        <v>21</v>
      </c>
      <c r="Y4" s="29">
        <v>22</v>
      </c>
      <c r="Z4" s="29">
        <v>23</v>
      </c>
      <c r="AA4" s="29">
        <v>24</v>
      </c>
      <c r="AB4" s="29">
        <v>25</v>
      </c>
      <c r="AC4" s="29">
        <v>26</v>
      </c>
      <c r="AD4" s="29">
        <v>27</v>
      </c>
      <c r="AE4" s="29">
        <v>28</v>
      </c>
      <c r="AF4" s="29">
        <v>29</v>
      </c>
      <c r="AG4" s="29">
        <v>30</v>
      </c>
      <c r="AH4" s="29">
        <v>31</v>
      </c>
      <c r="AI4" s="29">
        <v>32</v>
      </c>
      <c r="AJ4" s="29">
        <v>33</v>
      </c>
      <c r="AK4" s="29">
        <v>34</v>
      </c>
      <c r="AL4" s="29">
        <v>35</v>
      </c>
      <c r="AM4" s="29">
        <v>36</v>
      </c>
      <c r="AN4" s="29">
        <v>37</v>
      </c>
      <c r="AO4" s="29">
        <v>38</v>
      </c>
      <c r="AP4" s="29">
        <v>39</v>
      </c>
      <c r="AQ4" s="29">
        <v>40</v>
      </c>
      <c r="AR4" s="30" t="s">
        <v>14</v>
      </c>
    </row>
    <row r="5" spans="1:44" ht="17" thickBot="1">
      <c r="A5" s="707" t="s">
        <v>156</v>
      </c>
      <c r="B5" s="31" t="s">
        <v>69</v>
      </c>
      <c r="C5" s="145"/>
      <c r="D5" s="167" cm="1">
        <f t="array" aca="1" ref="D5" ca="1">IF('Summary Schedule'!$D$36="Annual",INDIRECT("'Amortization-HIDDEN'!N"&amp;D4+16&amp;""),IF('Summary Schedule'!$D$36="Quarter",INDIRECT("'Amortization-HIDDEN-Q'!N"&amp;D4+16&amp;""),IF('Summary Schedule'!$D$36="Month",INDIRECT("'Amortization-HIDDEN-M'!N"&amp;D4+16&amp;""),IF('Summary Schedule'!$D$36="Biannual",INDIRECT("'Amortization-HIDDEN-B'!N"&amp;D4+16&amp;""),0))))</f>
        <v>443340</v>
      </c>
      <c r="E5" s="167" cm="1">
        <f t="array" aca="1" ref="E5" ca="1">IF('Summary Schedule'!$D$36="Annual",INDIRECT("'Amortization-HIDDEN'!N"&amp;E4+16&amp;""),IF('Summary Schedule'!$D$36="Quarter",INDIRECT("'Amortization-HIDDEN-Q'!N"&amp;E4+16&amp;""),IF('Summary Schedule'!$D$36="Month",INDIRECT("'Amortization-HIDDEN-M'!N"&amp;E4+16&amp;""),IF('Summary Schedule'!$D$36="Biannual",INDIRECT("'Amortization-HIDDEN-B'!N"&amp;E4+16&amp;""),0))))</f>
        <v>493023</v>
      </c>
      <c r="F5" s="167" cm="1">
        <f t="array" aca="1" ref="F5" ca="1">IF('Summary Schedule'!$D$36="Annual",INDIRECT("'Amortization-HIDDEN'!N"&amp;F4+16&amp;""),IF('Summary Schedule'!$D$36="Quarter",INDIRECT("'Amortization-HIDDEN-Q'!N"&amp;F4+16&amp;""),IF('Summary Schedule'!$D$36="Month",INDIRECT("'Amortization-HIDDEN-M'!N"&amp;F4+16&amp;""),IF('Summary Schedule'!$D$36="Biannual",INDIRECT("'Amortization-HIDDEN-B'!N"&amp;F4+16&amp;""),0))))</f>
        <v>545928</v>
      </c>
      <c r="G5" s="167" cm="1">
        <f t="array" aca="1" ref="G5" ca="1">IF('Summary Schedule'!$D$36="Annual",INDIRECT("'Amortization-HIDDEN'!N"&amp;G4+16&amp;""),IF('Summary Schedule'!$D$36="Quarter",INDIRECT("'Amortization-HIDDEN-Q'!N"&amp;G4+16&amp;""),IF('Summary Schedule'!$D$36="Month",INDIRECT("'Amortization-HIDDEN-M'!N"&amp;G4+16&amp;""),IF('Summary Schedule'!$D$36="Biannual",INDIRECT("'Amortization-HIDDEN-B'!N"&amp;G4+16&amp;""),0))))</f>
        <v>602240</v>
      </c>
      <c r="H5" s="167" cm="1">
        <f t="array" aca="1" ref="H5" ca="1">IF('Summary Schedule'!$D$36="Annual",INDIRECT("'Amortization-HIDDEN'!N"&amp;H4+16&amp;""),IF('Summary Schedule'!$D$36="Quarter",INDIRECT("'Amortization-HIDDEN-Q'!N"&amp;H4+16&amp;""),IF('Summary Schedule'!$D$36="Month",INDIRECT("'Amortization-HIDDEN-M'!N"&amp;H4+16&amp;""),IF('Summary Schedule'!$D$36="Biannual",INDIRECT("'Amortization-HIDDEN-B'!N"&amp;H4+16&amp;""),0))))</f>
        <v>662152</v>
      </c>
      <c r="I5" s="167" cm="1">
        <f t="array" aca="1" ref="I5" ca="1">IF('Summary Schedule'!$D$36="Annual",INDIRECT("'Amortization-HIDDEN'!N"&amp;I4+16&amp;""),IF('Summary Schedule'!$D$36="Quarter",INDIRECT("'Amortization-HIDDEN-Q'!N"&amp;I4+16&amp;""),IF('Summary Schedule'!$D$36="Month",INDIRECT("'Amortization-HIDDEN-M'!N"&amp;I4+16&amp;""),IF('Summary Schedule'!$D$36="Biannual",INDIRECT("'Amortization-HIDDEN-B'!N"&amp;I4+16&amp;""),0))))</f>
        <v>725873</v>
      </c>
      <c r="J5" s="167" cm="1">
        <f t="array" aca="1" ref="J5" ca="1">IF('Summary Schedule'!$D$36="Annual",INDIRECT("'Amortization-HIDDEN'!N"&amp;J4+16&amp;""),IF('Summary Schedule'!$D$36="Quarter",INDIRECT("'Amortization-HIDDEN-Q'!N"&amp;J4+16&amp;""),IF('Summary Schedule'!$D$36="Month",INDIRECT("'Amortization-HIDDEN-M'!N"&amp;J4+16&amp;""),IF('Summary Schedule'!$D$36="Biannual",INDIRECT("'Amortization-HIDDEN-B'!N"&amp;J4+16&amp;""),0))))</f>
        <v>793619</v>
      </c>
      <c r="K5" s="167" cm="1">
        <f t="array" aca="1" ref="K5" ca="1">IF('Summary Schedule'!$D$36="Annual",INDIRECT("'Amortization-HIDDEN'!N"&amp;K4+16&amp;""),IF('Summary Schedule'!$D$36="Quarter",INDIRECT("'Amortization-HIDDEN-Q'!N"&amp;K4+16&amp;""),IF('Summary Schedule'!$D$36="Month",INDIRECT("'Amortization-HIDDEN-M'!N"&amp;K4+16&amp;""),IF('Summary Schedule'!$D$36="Biannual",INDIRECT("'Amortization-HIDDEN-B'!N"&amp;K4+16&amp;""),0))))</f>
        <v>865618</v>
      </c>
      <c r="L5" s="167" cm="1">
        <f t="array" aca="1" ref="L5" ca="1">IF('Summary Schedule'!$D$36="Annual",INDIRECT("'Amortization-HIDDEN'!N"&amp;L4+16&amp;""),IF('Summary Schedule'!$D$36="Quarter",INDIRECT("'Amortization-HIDDEN-Q'!N"&amp;L4+16&amp;""),IF('Summary Schedule'!$D$36="Month",INDIRECT("'Amortization-HIDDEN-M'!N"&amp;L4+16&amp;""),IF('Summary Schedule'!$D$36="Biannual",INDIRECT("'Amortization-HIDDEN-B'!N"&amp;L4+16&amp;""),0))))</f>
        <v>942114</v>
      </c>
      <c r="M5" s="167" cm="1">
        <f t="array" aca="1" ref="M5" ca="1">IF('Summary Schedule'!$D$36="Annual",INDIRECT("'Amortization-HIDDEN'!N"&amp;M4+16&amp;""),IF('Summary Schedule'!$D$36="Quarter",INDIRECT("'Amortization-HIDDEN-Q'!N"&amp;M4+16&amp;""),IF('Summary Schedule'!$D$36="Month",INDIRECT("'Amortization-HIDDEN-M'!N"&amp;M4+16&amp;""),IF('Summary Schedule'!$D$36="Biannual",INDIRECT("'Amortization-HIDDEN-B'!N"&amp;M4+16&amp;""),0))))</f>
        <v>1023364</v>
      </c>
      <c r="N5" s="167" cm="1">
        <f t="array" aca="1" ref="N5" ca="1">IF('Summary Schedule'!$D$36="Annual",INDIRECT("'Amortization-HIDDEN'!N"&amp;N4+16&amp;""),IF('Summary Schedule'!$D$36="Quarter",INDIRECT("'Amortization-HIDDEN-Q'!N"&amp;N4+16&amp;""),IF('Summary Schedule'!$D$36="Month",INDIRECT("'Amortization-HIDDEN-M'!N"&amp;N4+16&amp;""),IF('Summary Schedule'!$D$36="Biannual",INDIRECT("'Amortization-HIDDEN-B'!N"&amp;N4+16&amp;""),0))))</f>
        <v>1109634</v>
      </c>
      <c r="O5" s="167" cm="1">
        <f t="array" aca="1" ref="O5" ca="1">IF('Summary Schedule'!$D$36="Annual",INDIRECT("'Amortization-HIDDEN'!N"&amp;O4+16&amp;""),IF('Summary Schedule'!$D$36="Quarter",INDIRECT("'Amortization-HIDDEN-Q'!N"&amp;O4+16&amp;""),IF('Summary Schedule'!$D$36="Month",INDIRECT("'Amortization-HIDDEN-M'!N"&amp;O4+16&amp;""),IF('Summary Schedule'!$D$36="Biannual",INDIRECT("'Amortization-HIDDEN-B'!N"&amp;O4+16&amp;""),0))))</f>
        <v>1201207</v>
      </c>
      <c r="P5" s="167" cm="1">
        <f t="array" aca="1" ref="P5" ca="1">IF('Summary Schedule'!$D$36="Annual",INDIRECT("'Amortization-HIDDEN'!N"&amp;P4+16&amp;""),IF('Summary Schedule'!$D$36="Quarter",INDIRECT("'Amortization-HIDDEN-Q'!N"&amp;P4+16&amp;""),IF('Summary Schedule'!$D$36="Month",INDIRECT("'Amortization-HIDDEN-M'!N"&amp;P4+16&amp;""),IF('Summary Schedule'!$D$36="Biannual",INDIRECT("'Amortization-HIDDEN-B'!N"&amp;P4+16&amp;""),0))))</f>
        <v>1298385</v>
      </c>
      <c r="Q5" s="167" cm="1">
        <f t="array" aca="1" ref="Q5" ca="1">IF('Summary Schedule'!$D$36="Annual",INDIRECT("'Amortization-HIDDEN'!N"&amp;Q4+16&amp;""),IF('Summary Schedule'!$D$36="Quarter",INDIRECT("'Amortization-HIDDEN-Q'!N"&amp;Q4+16&amp;""),IF('Summary Schedule'!$D$36="Month",INDIRECT("'Amortization-HIDDEN-M'!N"&amp;Q4+16&amp;""),IF('Summary Schedule'!$D$36="Biannual",INDIRECT("'Amortization-HIDDEN-B'!N"&amp;Q4+16&amp;""),0))))</f>
        <v>1401481</v>
      </c>
      <c r="R5" s="167" cm="1">
        <f t="array" aca="1" ref="R5" ca="1">IF('Summary Schedule'!$D$36="Annual",INDIRECT("'Amortization-HIDDEN'!N"&amp;R4+16&amp;""),IF('Summary Schedule'!$D$36="Quarter",INDIRECT("'Amortization-HIDDEN-Q'!N"&amp;R4+16&amp;""),IF('Summary Schedule'!$D$36="Month",INDIRECT("'Amortization-HIDDEN-M'!N"&amp;R4+16&amp;""),IF('Summary Schedule'!$D$36="Biannual",INDIRECT("'Amortization-HIDDEN-B'!N"&amp;R4+16&amp;""),0))))</f>
        <v>1510831</v>
      </c>
      <c r="S5" s="167" cm="1">
        <f t="array" aca="1" ref="S5" ca="1">IF('Summary Schedule'!$D$36="Annual",INDIRECT("'Amortization-HIDDEN'!N"&amp;S4+16&amp;""),IF('Summary Schedule'!$D$36="Quarter",INDIRECT("'Amortization-HIDDEN-Q'!N"&amp;S4+16&amp;""),IF('Summary Schedule'!$D$36="Month",INDIRECT("'Amortization-HIDDEN-M'!N"&amp;S4+16&amp;""),IF('Summary Schedule'!$D$36="Biannual",INDIRECT("'Amortization-HIDDEN-B'!N"&amp;S4+16&amp;""),0))))</f>
        <v>1626781</v>
      </c>
      <c r="T5" s="167" cm="1">
        <f t="array" aca="1" ref="T5" ca="1">IF('Summary Schedule'!$D$36="Annual",INDIRECT("'Amortization-HIDDEN'!N"&amp;T4+16&amp;""),IF('Summary Schedule'!$D$36="Quarter",INDIRECT("'Amortization-HIDDEN-Q'!N"&amp;T4+16&amp;""),IF('Summary Schedule'!$D$36="Month",INDIRECT("'Amortization-HIDDEN-M'!N"&amp;T4+16&amp;""),IF('Summary Schedule'!$D$36="Biannual",INDIRECT("'Amortization-HIDDEN-B'!N"&amp;T4+16&amp;""),0))))</f>
        <v>1749702</v>
      </c>
      <c r="U5" s="167" cm="1">
        <f t="array" aca="1" ref="U5" ca="1">IF('Summary Schedule'!$D$36="Annual",INDIRECT("'Amortization-HIDDEN'!N"&amp;U4+16&amp;""),IF('Summary Schedule'!$D$36="Quarter",INDIRECT("'Amortization-HIDDEN-Q'!N"&amp;U4+16&amp;""),IF('Summary Schedule'!$D$36="Month",INDIRECT("'Amortization-HIDDEN-M'!N"&amp;U4+16&amp;""),IF('Summary Schedule'!$D$36="Biannual",INDIRECT("'Amortization-HIDDEN-B'!N"&amp;U4+16&amp;""),0))))</f>
        <v>1028940</v>
      </c>
      <c r="V5" s="167" cm="1">
        <f t="array" aca="1" ref="V5" ca="1">IF('Summary Schedule'!$D$36="Annual",INDIRECT("'Amortization-HIDDEN'!N"&amp;V4+16&amp;""),IF('Summary Schedule'!$D$36="Quarter",INDIRECT("'Amortization-HIDDEN-Q'!N"&amp;V4+16&amp;""),IF('Summary Schedule'!$D$36="Month",INDIRECT("'Amortization-HIDDEN-M'!N"&amp;V4+16&amp;""),IF('Summary Schedule'!$D$36="Biannual",INDIRECT("'Amortization-HIDDEN-B'!N"&amp;V4+16&amp;""),0))))</f>
        <v>0</v>
      </c>
      <c r="W5" s="167" cm="1">
        <f t="array" aca="1" ref="W5" ca="1">IF('Summary Schedule'!$D$36="Annual",INDIRECT("'Amortization-HIDDEN'!N"&amp;W4+16&amp;""),IF('Summary Schedule'!$D$36="Quarter",INDIRECT("'Amortization-HIDDEN-Q'!N"&amp;W4+16&amp;""),IF('Summary Schedule'!$D$36="Month",INDIRECT("'Amortization-HIDDEN-M'!N"&amp;W4+16&amp;""),IF('Summary Schedule'!$D$36="Biannual",INDIRECT("'Amortization-HIDDEN-B'!N"&amp;W4+16&amp;""),0))))</f>
        <v>0</v>
      </c>
      <c r="X5" s="167" cm="1">
        <f t="array" aca="1" ref="X5" ca="1">IF('Summary Schedule'!$D$36="Annual",INDIRECT("'Amortization-HIDDEN'!N"&amp;X4+16&amp;""),IF('Summary Schedule'!$D$36="Quarter",INDIRECT("'Amortization-HIDDEN-Q'!N"&amp;X4+16&amp;""),IF('Summary Schedule'!$D$36="Month",INDIRECT("'Amortization-HIDDEN-M'!N"&amp;X4+16&amp;""),IF('Summary Schedule'!$D$36="Biannual",INDIRECT("'Amortization-HIDDEN-B'!N"&amp;X4+16&amp;""),0))))</f>
        <v>0</v>
      </c>
      <c r="Y5" s="167" cm="1">
        <f t="array" aca="1" ref="Y5" ca="1">IF('Summary Schedule'!$D$36="Annual",INDIRECT("'Amortization-HIDDEN'!N"&amp;Y4+16&amp;""),IF('Summary Schedule'!$D$36="Quarter",INDIRECT("'Amortization-HIDDEN-Q'!N"&amp;Y4+16&amp;""),IF('Summary Schedule'!$D$36="Month",INDIRECT("'Amortization-HIDDEN-M'!N"&amp;Y4+16&amp;""),IF('Summary Schedule'!$D$36="Biannual",INDIRECT("'Amortization-HIDDEN-B'!N"&amp;Y4+16&amp;""),0))))</f>
        <v>0</v>
      </c>
      <c r="Z5" s="167" cm="1">
        <f t="array" aca="1" ref="Z5" ca="1">IF('Summary Schedule'!$D$36="Annual",INDIRECT("'Amortization-HIDDEN'!N"&amp;Z4+16&amp;""),IF('Summary Schedule'!$D$36="Quarter",INDIRECT("'Amortization-HIDDEN-Q'!N"&amp;Z4+16&amp;""),IF('Summary Schedule'!$D$36="Month",INDIRECT("'Amortization-HIDDEN-M'!N"&amp;Z4+16&amp;""),IF('Summary Schedule'!$D$36="Biannual",INDIRECT("'Amortization-HIDDEN-B'!N"&amp;Z4+16&amp;""),0))))</f>
        <v>0</v>
      </c>
      <c r="AA5" s="167" cm="1">
        <f t="array" aca="1" ref="AA5" ca="1">IF('Summary Schedule'!$D$36="Annual",INDIRECT("'Amortization-HIDDEN'!N"&amp;AA4+16&amp;""),IF('Summary Schedule'!$D$36="Quarter",INDIRECT("'Amortization-HIDDEN-Q'!N"&amp;AA4+16&amp;""),IF('Summary Schedule'!$D$36="Month",INDIRECT("'Amortization-HIDDEN-M'!N"&amp;AA4+16&amp;""),IF('Summary Schedule'!$D$36="Biannual",INDIRECT("'Amortization-HIDDEN-B'!N"&amp;AA4+16&amp;""),0))))</f>
        <v>0</v>
      </c>
      <c r="AB5" s="167" cm="1">
        <f t="array" aca="1" ref="AB5" ca="1">IF('Summary Schedule'!$D$36="Annual",INDIRECT("'Amortization-HIDDEN'!N"&amp;AB4+16&amp;""),IF('Summary Schedule'!$D$36="Quarter",INDIRECT("'Amortization-HIDDEN-Q'!N"&amp;AB4+16&amp;""),IF('Summary Schedule'!$D$36="Month",INDIRECT("'Amortization-HIDDEN-M'!N"&amp;AB4+16&amp;""),IF('Summary Schedule'!$D$36="Biannual",INDIRECT("'Amortization-HIDDEN-B'!N"&amp;AB4+16&amp;""),0))))</f>
        <v>0</v>
      </c>
      <c r="AC5" s="167">
        <f ca="1">IF('Summary Schedule'!$D$36="Annual",MAX(INDIRECT("'Amortization-HIDDEN'!N"&amp;AC4+16&amp;""),0),IF('Summary Schedule'!$D$36="Quarter",MAX(INDIRECT("'Amortization-HIDDEN-Q'!N"&amp;AC4+16&amp;""),0),IF('Summary Schedule'!$D$36="Month",MAX(INDIRECT("'Amortization-HIDDEN-M'!N"&amp;AC4+16&amp;""),0),IF('Summary Schedule'!$D$36="Biannual",MAX(INDIRECT("'Amortization-HIDDEN-B'!N"&amp;AC4+16&amp;""),0),0))))</f>
        <v>0</v>
      </c>
      <c r="AD5" s="167">
        <f ca="1">IF('Summary Schedule'!$D$36="Annual",MAX(INDIRECT("'Amortization-HIDDEN'!N"&amp;AD4+16&amp;""),0),IF('Summary Schedule'!$D$36="Quarter",MAX(INDIRECT("'Amortization-HIDDEN-Q'!N"&amp;AD4+16&amp;""),0),IF('Summary Schedule'!$D$36="Month",MAX(INDIRECT("'Amortization-HIDDEN-M'!N"&amp;AD4+16&amp;""),0),IF('Summary Schedule'!$D$36="Biannual",MAX(INDIRECT("'Amortization-HIDDEN-B'!N"&amp;AD4+16&amp;""),0),0))))</f>
        <v>0</v>
      </c>
      <c r="AE5" s="167">
        <f ca="1">IF('Summary Schedule'!$D$36="Annual",MAX(INDIRECT("'Amortization-HIDDEN'!N"&amp;AE4+16&amp;""),0),IF('Summary Schedule'!$D$36="Quarter",MAX(INDIRECT("'Amortization-HIDDEN-Q'!N"&amp;AE4+16&amp;""),0),IF('Summary Schedule'!$D$36="Month",MAX(INDIRECT("'Amortization-HIDDEN-M'!N"&amp;AE4+16&amp;""),0),IF('Summary Schedule'!$D$36="Biannual",MAX(INDIRECT("'Amortization-HIDDEN-B'!N"&amp;AE4+16&amp;""),0),0))))</f>
        <v>0</v>
      </c>
      <c r="AF5" s="167">
        <f ca="1">IF('Summary Schedule'!$D$36="Annual",MAX(INDIRECT("'Amortization-HIDDEN'!N"&amp;AF4+16&amp;""),0),IF('Summary Schedule'!$D$36="Quarter",MAX(INDIRECT("'Amortization-HIDDEN-Q'!N"&amp;AF4+16&amp;""),0),IF('Summary Schedule'!$D$36="Month",MAX(INDIRECT("'Amortization-HIDDEN-M'!N"&amp;AF4+16&amp;""),0),IF('Summary Schedule'!$D$36="Biannual",MAX(INDIRECT("'Amortization-HIDDEN-B'!N"&amp;AF4+16&amp;""),0),0))))</f>
        <v>0</v>
      </c>
      <c r="AG5" s="167">
        <f ca="1">IF('Summary Schedule'!$D$36="Annual",MAX(INDIRECT("'Amortization-HIDDEN'!N"&amp;AG4+16&amp;""),0),IF('Summary Schedule'!$D$36="Quarter",MAX(INDIRECT("'Amortization-HIDDEN-Q'!N"&amp;AG4+16&amp;""),0),IF('Summary Schedule'!$D$36="Month",MAX(INDIRECT("'Amortization-HIDDEN-M'!N"&amp;AG4+16&amp;""),0),IF('Summary Schedule'!$D$36="Biannual",MAX(INDIRECT("'Amortization-HIDDEN-B'!N"&amp;AG4+16&amp;""),0),0))))</f>
        <v>0</v>
      </c>
      <c r="AH5" s="167">
        <f ca="1">IF('Summary Schedule'!$D$36="Annual",MAX(INDIRECT("'Amortization-HIDDEN'!N"&amp;AH4+16&amp;""),0),IF('Summary Schedule'!$D$36="Quarter",MAX(INDIRECT("'Amortization-HIDDEN-Q'!N"&amp;AH4+16&amp;""),0),IF('Summary Schedule'!$D$36="Month",MAX(INDIRECT("'Amortization-HIDDEN-M'!N"&amp;AH4+16&amp;""),0),IF('Summary Schedule'!$D$36="Biannual",MAX(INDIRECT("'Amortization-HIDDEN-B'!N"&amp;AH4+16&amp;""),0),0))))</f>
        <v>0</v>
      </c>
      <c r="AI5" s="167">
        <f ca="1">IF('Summary Schedule'!$D$36="Annual",MAX(INDIRECT("'Amortization-HIDDEN'!N"&amp;AI4+16&amp;""),0),IF('Summary Schedule'!$D$36="Quarter",MAX(INDIRECT("'Amortization-HIDDEN-Q'!N"&amp;AI4+16&amp;""),0),IF('Summary Schedule'!$D$36="Month",MAX(INDIRECT("'Amortization-HIDDEN-M'!N"&amp;AI4+16&amp;""),0),IF('Summary Schedule'!$D$36="Biannual",MAX(INDIRECT("'Amortization-HIDDEN-B'!N"&amp;AI4+16&amp;""),0),0))))</f>
        <v>0</v>
      </c>
      <c r="AJ5" s="167">
        <f ca="1">IF('Summary Schedule'!$D$36="Annual",MAX(INDIRECT("'Amortization-HIDDEN'!N"&amp;AJ4+16&amp;""),0),IF('Summary Schedule'!$D$36="Quarter",MAX(INDIRECT("'Amortization-HIDDEN-Q'!N"&amp;AJ4+16&amp;""),0),IF('Summary Schedule'!$D$36="Month",MAX(INDIRECT("'Amortization-HIDDEN-M'!N"&amp;AJ4+16&amp;""),0),IF('Summary Schedule'!$D$36="Biannual",MAX(INDIRECT("'Amortization-HIDDEN-B'!N"&amp;AJ4+16&amp;""),0),0))))</f>
        <v>0</v>
      </c>
      <c r="AK5" s="167">
        <f ca="1">IF('Summary Schedule'!$D$36="Annual",MAX(INDIRECT("'Amortization-HIDDEN'!N"&amp;AK4+16&amp;""),0),IF('Summary Schedule'!$D$36="Quarter",MAX(INDIRECT("'Amortization-HIDDEN-Q'!N"&amp;AK4+16&amp;""),0),IF('Summary Schedule'!$D$36="Month",MAX(INDIRECT("'Amortization-HIDDEN-M'!N"&amp;AK4+16&amp;""),0),IF('Summary Schedule'!$D$36="Biannual",MAX(INDIRECT("'Amortization-HIDDEN-B'!N"&amp;AK4+16&amp;""),0),0))))</f>
        <v>0</v>
      </c>
      <c r="AL5" s="167">
        <f ca="1">IF('Summary Schedule'!$D$36="Annual",MAX(INDIRECT("'Amortization-HIDDEN'!N"&amp;AL4+16&amp;""),0),IF('Summary Schedule'!$D$36="Quarter",MAX(INDIRECT("'Amortization-HIDDEN-Q'!N"&amp;AL4+16&amp;""),0),IF('Summary Schedule'!$D$36="Month",MAX(INDIRECT("'Amortization-HIDDEN-M'!N"&amp;AL4+16&amp;""),0),IF('Summary Schedule'!$D$36="Biannual",MAX(INDIRECT("'Amortization-HIDDEN-B'!N"&amp;AL4+16&amp;""),0),0))))</f>
        <v>0</v>
      </c>
      <c r="AM5" s="167">
        <f ca="1">IF('Summary Schedule'!$D$36="Annual",MAX(INDIRECT("'Amortization-HIDDEN'!N"&amp;AM4+16&amp;""),0),IF('Summary Schedule'!$D$36="Quarter",MAX(INDIRECT("'Amortization-HIDDEN-Q'!N"&amp;AM4+16&amp;""),0),IF('Summary Schedule'!$D$36="Month",MAX(INDIRECT("'Amortization-HIDDEN-M'!N"&amp;AM4+16&amp;""),0),IF('Summary Schedule'!$D$36="Biannual",MAX(INDIRECT("'Amortization-HIDDEN-B'!N"&amp;AM4+16&amp;""),0),0))))</f>
        <v>0</v>
      </c>
      <c r="AN5" s="167">
        <f ca="1">IF('Summary Schedule'!$D$36="Annual",MAX(INDIRECT("'Amortization-HIDDEN'!N"&amp;AN4+16&amp;""),0),IF('Summary Schedule'!$D$36="Quarter",MAX(INDIRECT("'Amortization-HIDDEN-Q'!N"&amp;AN4+16&amp;""),0),IF('Summary Schedule'!$D$36="Month",MAX(INDIRECT("'Amortization-HIDDEN-M'!N"&amp;AN4+16&amp;""),0),IF('Summary Schedule'!$D$36="Biannual",MAX(INDIRECT("'Amortization-HIDDEN-B'!N"&amp;AN4+16&amp;""),0),0))))</f>
        <v>0</v>
      </c>
      <c r="AO5" s="167">
        <f ca="1">IF('Summary Schedule'!$D$36="Annual",MAX(INDIRECT("'Amortization-HIDDEN'!N"&amp;AO4+16&amp;""),0),IF('Summary Schedule'!$D$36="Quarter",MAX(INDIRECT("'Amortization-HIDDEN-Q'!N"&amp;AO4+16&amp;""),0),IF('Summary Schedule'!$D$36="Month",MAX(INDIRECT("'Amortization-HIDDEN-M'!N"&amp;AO4+16&amp;""),0),IF('Summary Schedule'!$D$36="Biannual",MAX(INDIRECT("'Amortization-HIDDEN-B'!N"&amp;AO4+16&amp;""),0),0))))</f>
        <v>0</v>
      </c>
      <c r="AP5" s="167">
        <f ca="1">IF('Summary Schedule'!$D$36="Annual",MAX(INDIRECT("'Amortization-HIDDEN'!N"&amp;AP4+16&amp;""),0),IF('Summary Schedule'!$D$36="Quarter",MAX(INDIRECT("'Amortization-HIDDEN-Q'!N"&amp;AP4+16&amp;""),0),IF('Summary Schedule'!$D$36="Month",MAX(INDIRECT("'Amortization-HIDDEN-M'!N"&amp;AP4+16&amp;""),0),IF('Summary Schedule'!$D$36="Biannual",MAX(INDIRECT("'Amortization-HIDDEN-B'!N"&amp;AP4+16&amp;""),0),0))))</f>
        <v>0</v>
      </c>
      <c r="AQ5" s="167">
        <f ca="1">IF('Summary Schedule'!$D$36="Annual",MAX(INDIRECT("'Amortization-HIDDEN'!N"&amp;AQ4+16&amp;""),0),IF('Summary Schedule'!$D$36="Quarter",MAX(INDIRECT("'Amortization-HIDDEN-Q'!N"&amp;AQ4+16&amp;""),0),IF('Summary Schedule'!$D$36="Month",MAX(INDIRECT("'Amortization-HIDDEN-M'!N"&amp;AQ4+16&amp;""),0),IF('Summary Schedule'!$D$36="Biannual",MAX(INDIRECT("'Amortization-HIDDEN-B'!N"&amp;AQ4+16&amp;""),0),0))))</f>
        <v>0</v>
      </c>
      <c r="AR5" s="168">
        <f ca="1">SUM(D5:AB5)</f>
        <v>18024232</v>
      </c>
    </row>
    <row r="6" spans="1:44" ht="54.75" customHeight="1" thickBot="1">
      <c r="A6" s="708"/>
      <c r="B6" s="31" t="s">
        <v>418</v>
      </c>
      <c r="C6" s="146"/>
      <c r="D6" s="275">
        <v>0</v>
      </c>
      <c r="E6" s="275">
        <v>0</v>
      </c>
      <c r="F6" s="275">
        <v>0</v>
      </c>
      <c r="G6" s="275">
        <v>0</v>
      </c>
      <c r="H6" s="275">
        <v>0</v>
      </c>
      <c r="I6" s="275">
        <v>0</v>
      </c>
      <c r="J6" s="275">
        <v>0</v>
      </c>
      <c r="K6" s="275">
        <v>0</v>
      </c>
      <c r="L6" s="275">
        <v>0</v>
      </c>
      <c r="M6" s="275">
        <v>0</v>
      </c>
      <c r="N6" s="275">
        <v>0</v>
      </c>
      <c r="O6" s="275">
        <v>0</v>
      </c>
      <c r="P6" s="275">
        <v>0</v>
      </c>
      <c r="Q6" s="275">
        <v>0</v>
      </c>
      <c r="R6" s="275">
        <v>0</v>
      </c>
      <c r="S6" s="275">
        <v>0</v>
      </c>
      <c r="T6" s="275">
        <v>0</v>
      </c>
      <c r="U6" s="275">
        <v>0</v>
      </c>
      <c r="V6" s="275">
        <v>0</v>
      </c>
      <c r="W6" s="275">
        <v>0</v>
      </c>
      <c r="X6" s="275">
        <v>0</v>
      </c>
      <c r="Y6" s="275">
        <v>0</v>
      </c>
      <c r="Z6" s="275">
        <v>0</v>
      </c>
      <c r="AA6" s="275">
        <v>0</v>
      </c>
      <c r="AB6" s="275">
        <v>0</v>
      </c>
      <c r="AC6" s="275">
        <v>0</v>
      </c>
      <c r="AD6" s="275">
        <v>0</v>
      </c>
      <c r="AE6" s="275">
        <v>0</v>
      </c>
      <c r="AF6" s="275">
        <v>0</v>
      </c>
      <c r="AG6" s="275">
        <v>0</v>
      </c>
      <c r="AH6" s="275">
        <v>0</v>
      </c>
      <c r="AI6" s="275">
        <v>0</v>
      </c>
      <c r="AJ6" s="275">
        <v>0</v>
      </c>
      <c r="AK6" s="275">
        <v>0</v>
      </c>
      <c r="AL6" s="275">
        <v>0</v>
      </c>
      <c r="AM6" s="275">
        <v>0</v>
      </c>
      <c r="AN6" s="275">
        <v>0</v>
      </c>
      <c r="AO6" s="275">
        <v>0</v>
      </c>
      <c r="AP6" s="275">
        <v>0</v>
      </c>
      <c r="AQ6" s="275">
        <v>0</v>
      </c>
      <c r="AR6" s="137">
        <f>SUM(D6:AB6)</f>
        <v>0</v>
      </c>
    </row>
    <row r="7" spans="1:44" ht="54.75" customHeight="1" thickBot="1">
      <c r="A7" s="708"/>
      <c r="B7" s="31" t="s">
        <v>158</v>
      </c>
      <c r="C7" s="146"/>
      <c r="D7" s="275">
        <v>1</v>
      </c>
      <c r="E7" s="275">
        <v>1</v>
      </c>
      <c r="F7" s="275">
        <v>1</v>
      </c>
      <c r="G7" s="275">
        <v>1</v>
      </c>
      <c r="H7" s="275">
        <v>1</v>
      </c>
      <c r="I7" s="275">
        <v>1</v>
      </c>
      <c r="J7" s="275">
        <v>1</v>
      </c>
      <c r="K7" s="275">
        <v>1</v>
      </c>
      <c r="L7" s="275">
        <v>1</v>
      </c>
      <c r="M7" s="275">
        <v>1</v>
      </c>
      <c r="N7" s="275">
        <v>1</v>
      </c>
      <c r="O7" s="275">
        <v>1</v>
      </c>
      <c r="P7" s="275">
        <v>1</v>
      </c>
      <c r="Q7" s="275">
        <v>1</v>
      </c>
      <c r="R7" s="275">
        <v>1</v>
      </c>
      <c r="S7" s="275">
        <v>1</v>
      </c>
      <c r="T7" s="275">
        <v>1</v>
      </c>
      <c r="U7" s="275">
        <v>0</v>
      </c>
      <c r="V7" s="275">
        <v>0</v>
      </c>
      <c r="W7" s="275">
        <v>0</v>
      </c>
      <c r="X7" s="275">
        <v>0</v>
      </c>
      <c r="Y7" s="275">
        <v>0</v>
      </c>
      <c r="Z7" s="275">
        <v>0</v>
      </c>
      <c r="AA7" s="275">
        <v>0</v>
      </c>
      <c r="AB7" s="275">
        <v>0</v>
      </c>
      <c r="AC7" s="275"/>
      <c r="AD7" s="275"/>
      <c r="AE7" s="275"/>
      <c r="AF7" s="275"/>
      <c r="AG7" s="275"/>
      <c r="AH7" s="275"/>
      <c r="AI7" s="275"/>
      <c r="AJ7" s="275"/>
      <c r="AK7" s="275"/>
      <c r="AL7" s="275"/>
      <c r="AM7" s="275"/>
      <c r="AN7" s="275"/>
      <c r="AO7" s="275"/>
      <c r="AP7" s="275"/>
      <c r="AQ7" s="275"/>
      <c r="AR7" s="137"/>
    </row>
    <row r="8" spans="1:44" ht="17" thickBot="1">
      <c r="A8" s="708"/>
      <c r="B8" s="31" t="s">
        <v>67</v>
      </c>
      <c r="C8" s="146"/>
      <c r="D8" s="167">
        <f ca="1">IF('Summary Schedule'!$D$36="Annual",INDIRECT("'Amortization-HIDDEN'!O"&amp;D4+16&amp;""),IF('Summary Schedule'!$D$36="Quarter",INDIRECT("'Amortization-HIDDEN-Q'!O"&amp;D4+16&amp;""),IF('Summary Schedule'!$D$36="Month",INDIRECT("'Amortization-HIDDEN-M'!O"&amp;D4+16&amp;""),IF('Summary Schedule'!$D$36="Biannual",INDIRECT("'Amortization-HIDDEN-B'!O"&amp;D4+16&amp;""),""))))</f>
        <v>916488</v>
      </c>
      <c r="E8" s="167">
        <f ca="1">IF('Summary Schedule'!$D$36="Annual",INDIRECT("'Amortization-HIDDEN'!O"&amp;E4+16&amp;""),IF('Summary Schedule'!$D$36="Quarter",INDIRECT("'Amortization-HIDDEN-Q'!O"&amp;E4+16&amp;""),IF('Summary Schedule'!$D$36="Month",INDIRECT("'Amortization-HIDDEN-M'!O"&amp;E4+16&amp;""),IF('Summary Schedule'!$D$36="Biannual",INDIRECT("'Amortization-HIDDEN-B'!O"&amp;E4+16&amp;""),""))))</f>
        <v>893694</v>
      </c>
      <c r="F8" s="167">
        <f ca="1">IF('Summary Schedule'!$D$36="Annual",INDIRECT("'Amortization-HIDDEN'!O"&amp;F4+16&amp;""),IF('Summary Schedule'!$D$36="Quarter",INDIRECT("'Amortization-HIDDEN-Q'!O"&amp;F4+16&amp;""),IF('Summary Schedule'!$D$36="Month",INDIRECT("'Amortization-HIDDEN-M'!O"&amp;F4+16&amp;""),IF('Summary Schedule'!$D$36="Biannual",INDIRECT("'Amortization-HIDDEN-B'!O"&amp;F4+16&amp;""),""))))</f>
        <v>868355</v>
      </c>
      <c r="G8" s="167">
        <f ca="1">IF('Summary Schedule'!$D$36="Annual",INDIRECT("'Amortization-HIDDEN'!O"&amp;G4+16&amp;""),IF('Summary Schedule'!$D$36="Quarter",INDIRECT("'Amortization-HIDDEN-Q'!O"&amp;G4+16&amp;""),IF('Summary Schedule'!$D$36="Month",INDIRECT("'Amortization-HIDDEN-M'!O"&amp;G4+16&amp;""),IF('Summary Schedule'!$D$36="Biannual",INDIRECT("'Amortization-HIDDEN-B'!O"&amp;G4+16&amp;""),""))))</f>
        <v>840306</v>
      </c>
      <c r="H8" s="167">
        <f ca="1">IF('Summary Schedule'!$D$36="Annual",INDIRECT("'Amortization-HIDDEN'!O"&amp;H4+16&amp;""),IF('Summary Schedule'!$D$36="Quarter",INDIRECT("'Amortization-HIDDEN-Q'!O"&amp;H4+16&amp;""),IF('Summary Schedule'!$D$36="Month",INDIRECT("'Amortization-HIDDEN-M'!O"&amp;H4+16&amp;""),IF('Summary Schedule'!$D$36="Biannual",INDIRECT("'Amortization-HIDDEN-B'!O"&amp;H4+16&amp;""),""))))</f>
        <v>809374</v>
      </c>
      <c r="I8" s="167">
        <f ca="1">IF('Summary Schedule'!$D$36="Annual",INDIRECT("'Amortization-HIDDEN'!O"&amp;I4+16&amp;""),IF('Summary Schedule'!$D$36="Quarter",INDIRECT("'Amortization-HIDDEN-Q'!O"&amp;I4+16&amp;""),IF('Summary Schedule'!$D$36="Month",INDIRECT("'Amortization-HIDDEN-M'!O"&amp;I4+16&amp;""),IF('Summary Schedule'!$D$36="Biannual",INDIRECT("'Amortization-HIDDEN-B'!O"&amp;I4+16&amp;""),""))))</f>
        <v>775373</v>
      </c>
      <c r="J8" s="167">
        <f ca="1">IF('Summary Schedule'!$D$36="Annual",INDIRECT("'Amortization-HIDDEN'!O"&amp;J4+16&amp;""),IF('Summary Schedule'!$D$36="Quarter",INDIRECT("'Amortization-HIDDEN-Q'!O"&amp;J4+16&amp;""),IF('Summary Schedule'!$D$36="Month",INDIRECT("'Amortization-HIDDEN-M'!O"&amp;J4+16&amp;""),IF('Summary Schedule'!$D$36="Biannual",INDIRECT("'Amortization-HIDDEN-B'!O"&amp;J4+16&amp;""),""))))</f>
        <v>738109</v>
      </c>
      <c r="K8" s="167">
        <f ca="1">IF('Summary Schedule'!$D$36="Annual",INDIRECT("'Amortization-HIDDEN'!O"&amp;K4+16&amp;""),IF('Summary Schedule'!$D$36="Quarter",INDIRECT("'Amortization-HIDDEN-Q'!O"&amp;K4+16&amp;""),IF('Summary Schedule'!$D$36="Month",INDIRECT("'Amortization-HIDDEN-M'!O"&amp;K4+16&amp;""),IF('Summary Schedule'!$D$36="Biannual",INDIRECT("'Amortization-HIDDEN-B'!O"&amp;K4+16&amp;""),""))))</f>
        <v>697376</v>
      </c>
      <c r="L8" s="167">
        <f ca="1">IF('Summary Schedule'!$D$36="Annual",INDIRECT("'Amortization-HIDDEN'!O"&amp;L4+16&amp;""),IF('Summary Schedule'!$D$36="Quarter",INDIRECT("'Amortization-HIDDEN-Q'!O"&amp;L4+16&amp;""),IF('Summary Schedule'!$D$36="Month",INDIRECT("'Amortization-HIDDEN-M'!O"&amp;L4+16&amp;""),IF('Summary Schedule'!$D$36="Biannual",INDIRECT("'Amortization-HIDDEN-B'!O"&amp;L4+16&amp;""),""))))</f>
        <v>652956</v>
      </c>
      <c r="M8" s="167">
        <f ca="1">IF('Summary Schedule'!$D$36="Annual",INDIRECT("'Amortization-HIDDEN'!O"&amp;M4+16&amp;""),IF('Summary Schedule'!$D$36="Quarter",INDIRECT("'Amortization-HIDDEN-Q'!O"&amp;M4+16&amp;""),IF('Summary Schedule'!$D$36="Month",INDIRECT("'Amortization-HIDDEN-M'!O"&amp;M4+16&amp;""),IF('Summary Schedule'!$D$36="Biannual",INDIRECT("'Amortization-HIDDEN-B'!O"&amp;M4+16&amp;""),""))))</f>
        <v>604618</v>
      </c>
      <c r="N8" s="167">
        <f ca="1">IF('Summary Schedule'!$D$36="Annual",INDIRECT("'Amortization-HIDDEN'!O"&amp;N4+16&amp;""),IF('Summary Schedule'!$D$36="Quarter",INDIRECT("'Amortization-HIDDEN-Q'!O"&amp;N4+16&amp;""),IF('Summary Schedule'!$D$36="Month",INDIRECT("'Amortization-HIDDEN-M'!O"&amp;N4+16&amp;""),IF('Summary Schedule'!$D$36="Biannual",INDIRECT("'Amortization-HIDDEN-B'!O"&amp;N4+16&amp;""),""))))</f>
        <v>552120</v>
      </c>
      <c r="O8" s="167">
        <f ca="1">IF('Summary Schedule'!$D$36="Annual",INDIRECT("'Amortization-HIDDEN'!O"&amp;O4+16&amp;""),IF('Summary Schedule'!$D$36="Quarter",INDIRECT("'Amortization-HIDDEN-Q'!O"&amp;O4+16&amp;""),IF('Summary Schedule'!$D$36="Month",INDIRECT("'Amortization-HIDDEN-M'!O"&amp;O4+16&amp;""),IF('Summary Schedule'!$D$36="Biannual",INDIRECT("'Amortization-HIDDEN-B'!O"&amp;O4+16&amp;""),""))))</f>
        <v>495205</v>
      </c>
      <c r="P8" s="167">
        <f ca="1">IF('Summary Schedule'!$D$36="Annual",INDIRECT("'Amortization-HIDDEN'!O"&amp;P4+16&amp;""),IF('Summary Schedule'!$D$36="Quarter",INDIRECT("'Amortization-HIDDEN-Q'!O"&amp;P4+16&amp;""),IF('Summary Schedule'!$D$36="Month",INDIRECT("'Amortization-HIDDEN-M'!O"&amp;P4+16&amp;""),IF('Summary Schedule'!$D$36="Biannual",INDIRECT("'Amortization-HIDDEN-B'!O"&amp;P4+16&amp;""),""))))</f>
        <v>433600</v>
      </c>
      <c r="Q8" s="167">
        <f ca="1">IF('Summary Schedule'!$D$36="Annual",INDIRECT("'Amortization-HIDDEN'!O"&amp;Q4+16&amp;""),IF('Summary Schedule'!$D$36="Quarter",INDIRECT("'Amortization-HIDDEN-Q'!O"&amp;Q4+16&amp;""),IF('Summary Schedule'!$D$36="Month",INDIRECT("'Amortization-HIDDEN-M'!O"&amp;Q4+16&amp;""),IF('Summary Schedule'!$D$36="Biannual",INDIRECT("'Amortization-HIDDEN-B'!O"&amp;Q4+16&amp;""),""))))</f>
        <v>367021</v>
      </c>
      <c r="R8" s="167">
        <f ca="1">IF('Summary Schedule'!$D$36="Annual",INDIRECT("'Amortization-HIDDEN'!O"&amp;R4+16&amp;""),IF('Summary Schedule'!$D$36="Quarter",INDIRECT("'Amortization-HIDDEN-Q'!O"&amp;R4+16&amp;""),IF('Summary Schedule'!$D$36="Month",INDIRECT("'Amortization-HIDDEN-M'!O"&amp;R4+16&amp;""),IF('Summary Schedule'!$D$36="Biannual",INDIRECT("'Amortization-HIDDEN-B'!O"&amp;R4+16&amp;""),""))))</f>
        <v>295162</v>
      </c>
      <c r="S8" s="167">
        <f ca="1">IF('Summary Schedule'!$D$36="Annual",INDIRECT("'Amortization-HIDDEN'!O"&amp;S4+16&amp;""),IF('Summary Schedule'!$D$36="Quarter",INDIRECT("'Amortization-HIDDEN-Q'!O"&amp;S4+16&amp;""),IF('Summary Schedule'!$D$36="Month",INDIRECT("'Amortization-HIDDEN-M'!O"&amp;S4+16&amp;""),IF('Summary Schedule'!$D$36="Biannual",INDIRECT("'Amortization-HIDDEN-B'!O"&amp;S4+16&amp;""),""))))</f>
        <v>217704</v>
      </c>
      <c r="T8" s="167">
        <f ca="1">IF('Summary Schedule'!$D$36="Annual",INDIRECT("'Amortization-HIDDEN'!O"&amp;T4+16&amp;""),IF('Summary Schedule'!$D$36="Quarter",INDIRECT("'Amortization-HIDDEN-Q'!O"&amp;T4+16&amp;""),IF('Summary Schedule'!$D$36="Month",INDIRECT("'Amortization-HIDDEN-M'!O"&amp;T4+16&amp;""),IF('Summary Schedule'!$D$36="Biannual",INDIRECT("'Amortization-HIDDEN-B'!O"&amp;T4+16&amp;""),""))))</f>
        <v>134311</v>
      </c>
      <c r="U8" s="167">
        <f ca="1">IF('Summary Schedule'!$D$36="Annual",INDIRECT("'Amortization-HIDDEN'!O"&amp;U4+16&amp;""),IF('Summary Schedule'!$D$36="Quarter",INDIRECT("'Amortization-HIDDEN-Q'!O"&amp;U4+16&amp;""),IF('Summary Schedule'!$D$36="Month",INDIRECT("'Amortization-HIDDEN-M'!O"&amp;U4+16&amp;""),IF('Summary Schedule'!$D$36="Biannual",INDIRECT("'Amortization-HIDDEN-B'!O"&amp;U4+16&amp;""),""))))</f>
        <v>48155</v>
      </c>
      <c r="V8" s="167">
        <f ca="1">IF('Summary Schedule'!$D$36="Annual",INDIRECT("'Amortization-HIDDEN'!O"&amp;V4+16&amp;""),IF('Summary Schedule'!$D$36="Quarter",INDIRECT("'Amortization-HIDDEN-Q'!O"&amp;V4+16&amp;""),IF('Summary Schedule'!$D$36="Month",INDIRECT("'Amortization-HIDDEN-M'!O"&amp;V4+16&amp;""),IF('Summary Schedule'!$D$36="Biannual",INDIRECT("'Amortization-HIDDEN-B'!O"&amp;V4+16&amp;""),""))))</f>
        <v>0</v>
      </c>
      <c r="W8" s="167">
        <f ca="1">IF('Summary Schedule'!$D$36="Annual",INDIRECT("'Amortization-HIDDEN'!O"&amp;W4+16&amp;""),IF('Summary Schedule'!$D$36="Quarter",INDIRECT("'Amortization-HIDDEN-Q'!O"&amp;W4+16&amp;""),IF('Summary Schedule'!$D$36="Month",INDIRECT("'Amortization-HIDDEN-M'!O"&amp;W4+16&amp;""),IF('Summary Schedule'!$D$36="Biannual",INDIRECT("'Amortization-HIDDEN-B'!O"&amp;W4+16&amp;""),""))))</f>
        <v>0</v>
      </c>
      <c r="X8" s="167">
        <f ca="1">IF('Summary Schedule'!$D$36="Annual",INDIRECT("'Amortization-HIDDEN'!O"&amp;X4+16&amp;""),IF('Summary Schedule'!$D$36="Quarter",INDIRECT("'Amortization-HIDDEN-Q'!O"&amp;X4+16&amp;""),IF('Summary Schedule'!$D$36="Month",INDIRECT("'Amortization-HIDDEN-M'!O"&amp;X4+16&amp;""),IF('Summary Schedule'!$D$36="Biannual",INDIRECT("'Amortization-HIDDEN-B'!O"&amp;X4+16&amp;""),""))))</f>
        <v>0</v>
      </c>
      <c r="Y8" s="167">
        <f ca="1">IF('Summary Schedule'!$D$36="Annual",INDIRECT("'Amortization-HIDDEN'!O"&amp;Y4+16&amp;""),IF('Summary Schedule'!$D$36="Quarter",INDIRECT("'Amortization-HIDDEN-Q'!O"&amp;Y4+16&amp;""),IF('Summary Schedule'!$D$36="Month",INDIRECT("'Amortization-HIDDEN-M'!O"&amp;Y4+16&amp;""),IF('Summary Schedule'!$D$36="Biannual",INDIRECT("'Amortization-HIDDEN-B'!O"&amp;Y4+16&amp;""),""))))</f>
        <v>0</v>
      </c>
      <c r="Z8" s="167">
        <f ca="1">IF('Summary Schedule'!$D$36="Annual",INDIRECT("'Amortization-HIDDEN'!O"&amp;Z4+16&amp;""),IF('Summary Schedule'!$D$36="Quarter",INDIRECT("'Amortization-HIDDEN-Q'!O"&amp;Z4+16&amp;""),IF('Summary Schedule'!$D$36="Month",INDIRECT("'Amortization-HIDDEN-M'!O"&amp;Z4+16&amp;""),IF('Summary Schedule'!$D$36="Biannual",INDIRECT("'Amortization-HIDDEN-B'!O"&amp;Z4+16&amp;""),""))))</f>
        <v>0</v>
      </c>
      <c r="AA8" s="167">
        <f ca="1">IF('Summary Schedule'!$D$36="Annual",INDIRECT("'Amortization-HIDDEN'!O"&amp;AA4+16&amp;""),IF('Summary Schedule'!$D$36="Quarter",INDIRECT("'Amortization-HIDDEN-Q'!O"&amp;AA4+16&amp;""),IF('Summary Schedule'!$D$36="Month",INDIRECT("'Amortization-HIDDEN-M'!O"&amp;AA4+16&amp;""),IF('Summary Schedule'!$D$36="Biannual",INDIRECT("'Amortization-HIDDEN-B'!O"&amp;AA4+16&amp;""),""))))</f>
        <v>0</v>
      </c>
      <c r="AB8" s="167">
        <f ca="1">IF('Summary Schedule'!$D$36="Annual",INDIRECT("'Amortization-HIDDEN'!O"&amp;AB4+16&amp;""),IF('Summary Schedule'!$D$36="Quarter",INDIRECT("'Amortization-HIDDEN-Q'!O"&amp;AB4+16&amp;""),IF('Summary Schedule'!$D$36="Month",INDIRECT("'Amortization-HIDDEN-M'!O"&amp;AB4+16&amp;""),IF('Summary Schedule'!$D$36="Biannual",INDIRECT("'Amortization-HIDDEN-B'!O"&amp;AB4+16&amp;""),""))))</f>
        <v>0</v>
      </c>
      <c r="AC8" s="167">
        <f ca="1">IF('Summary Schedule'!$D$36="Annual",INDIRECT("'Amortization-HIDDEN'!O"&amp;AC4+16&amp;""),IF('Summary Schedule'!$D$36="Quarter",INDIRECT("'Amortization-HIDDEN-Q'!O"&amp;AC4+16&amp;""),IF('Summary Schedule'!$D$36="Month",INDIRECT("'Amortization-HIDDEN-M'!O"&amp;AC4+16&amp;""),IF('Summary Schedule'!$D$36="Biannual",INDIRECT("'Amortization-HIDDEN-B'!O"&amp;AC4+16&amp;""),""))))</f>
        <v>0</v>
      </c>
      <c r="AD8" s="167">
        <f ca="1">IF('Summary Schedule'!$D$36="Annual",INDIRECT("'Amortization-HIDDEN'!O"&amp;AD4+16&amp;""),IF('Summary Schedule'!$D$36="Quarter",INDIRECT("'Amortization-HIDDEN-Q'!O"&amp;AD4+16&amp;""),IF('Summary Schedule'!$D$36="Month",INDIRECT("'Amortization-HIDDEN-M'!O"&amp;AD4+16&amp;""),IF('Summary Schedule'!$D$36="Biannual",INDIRECT("'Amortization-HIDDEN-B'!O"&amp;AD4+16&amp;""),""))))</f>
        <v>0</v>
      </c>
      <c r="AE8" s="167">
        <f ca="1">IF('Summary Schedule'!$D$36="Annual",INDIRECT("'Amortization-HIDDEN'!O"&amp;AE4+16&amp;""),IF('Summary Schedule'!$D$36="Quarter",INDIRECT("'Amortization-HIDDEN-Q'!O"&amp;AE4+16&amp;""),IF('Summary Schedule'!$D$36="Month",INDIRECT("'Amortization-HIDDEN-M'!O"&amp;AE4+16&amp;""),IF('Summary Schedule'!$D$36="Biannual",INDIRECT("'Amortization-HIDDEN-B'!O"&amp;AE4+16&amp;""),""))))</f>
        <v>0</v>
      </c>
      <c r="AF8" s="167">
        <f ca="1">IF('Summary Schedule'!$D$36="Annual",INDIRECT("'Amortization-HIDDEN'!O"&amp;AF4+16&amp;""),IF('Summary Schedule'!$D$36="Quarter",INDIRECT("'Amortization-HIDDEN-Q'!O"&amp;AF4+16&amp;""),IF('Summary Schedule'!$D$36="Month",INDIRECT("'Amortization-HIDDEN-M'!O"&amp;AF4+16&amp;""),IF('Summary Schedule'!$D$36="Biannual",INDIRECT("'Amortization-HIDDEN-B'!O"&amp;AF4+16&amp;""),""))))</f>
        <v>0</v>
      </c>
      <c r="AG8" s="167">
        <f ca="1">IF('Summary Schedule'!$D$36="Annual",INDIRECT("'Amortization-HIDDEN'!O"&amp;AG4+16&amp;""),IF('Summary Schedule'!$D$36="Quarter",INDIRECT("'Amortization-HIDDEN-Q'!O"&amp;AG4+16&amp;""),IF('Summary Schedule'!$D$36="Month",INDIRECT("'Amortization-HIDDEN-M'!O"&amp;AG4+16&amp;""),IF('Summary Schedule'!$D$36="Biannual",INDIRECT("'Amortization-HIDDEN-B'!O"&amp;AG4+16&amp;""),""))))</f>
        <v>0</v>
      </c>
      <c r="AH8" s="167">
        <f ca="1">IF('Summary Schedule'!$D$36="Annual",INDIRECT("'Amortization-HIDDEN'!O"&amp;AH4+16&amp;""),IF('Summary Schedule'!$D$36="Quarter",INDIRECT("'Amortization-HIDDEN-Q'!O"&amp;AH4+16&amp;""),IF('Summary Schedule'!$D$36="Month",INDIRECT("'Amortization-HIDDEN-M'!O"&amp;AH4+16&amp;""),IF('Summary Schedule'!$D$36="Biannual",INDIRECT("'Amortization-HIDDEN-B'!O"&amp;AH4+16&amp;""),""))))</f>
        <v>0</v>
      </c>
      <c r="AI8" s="167">
        <f ca="1">IF('Summary Schedule'!$D$36="Annual",INDIRECT("'Amortization-HIDDEN'!O"&amp;AI4+16&amp;""),IF('Summary Schedule'!$D$36="Quarter",INDIRECT("'Amortization-HIDDEN-Q'!O"&amp;AI4+16&amp;""),IF('Summary Schedule'!$D$36="Month",INDIRECT("'Amortization-HIDDEN-M'!O"&amp;AI4+16&amp;""),IF('Summary Schedule'!$D$36="Biannual",INDIRECT("'Amortization-HIDDEN-B'!O"&amp;AI4+16&amp;""),""))))</f>
        <v>0</v>
      </c>
      <c r="AJ8" s="167">
        <f ca="1">IF('Summary Schedule'!$D$36="Annual",INDIRECT("'Amortization-HIDDEN'!O"&amp;AJ4+16&amp;""),IF('Summary Schedule'!$D$36="Quarter",INDIRECT("'Amortization-HIDDEN-Q'!O"&amp;AJ4+16&amp;""),IF('Summary Schedule'!$D$36="Month",INDIRECT("'Amortization-HIDDEN-M'!O"&amp;AJ4+16&amp;""),IF('Summary Schedule'!$D$36="Biannual",INDIRECT("'Amortization-HIDDEN-B'!O"&amp;AJ4+16&amp;""),""))))</f>
        <v>0</v>
      </c>
      <c r="AK8" s="167">
        <f ca="1">IF('Summary Schedule'!$D$36="Annual",INDIRECT("'Amortization-HIDDEN'!O"&amp;AK4+16&amp;""),IF('Summary Schedule'!$D$36="Quarter",INDIRECT("'Amortization-HIDDEN-Q'!O"&amp;AK4+16&amp;""),IF('Summary Schedule'!$D$36="Month",INDIRECT("'Amortization-HIDDEN-M'!O"&amp;AK4+16&amp;""),IF('Summary Schedule'!$D$36="Biannual",INDIRECT("'Amortization-HIDDEN-B'!O"&amp;AK4+16&amp;""),""))))</f>
        <v>0</v>
      </c>
      <c r="AL8" s="167">
        <f ca="1">IF('Summary Schedule'!$D$36="Annual",INDIRECT("'Amortization-HIDDEN'!O"&amp;AL4+16&amp;""),IF('Summary Schedule'!$D$36="Quarter",INDIRECT("'Amortization-HIDDEN-Q'!O"&amp;AL4+16&amp;""),IF('Summary Schedule'!$D$36="Month",INDIRECT("'Amortization-HIDDEN-M'!O"&amp;AL4+16&amp;""),IF('Summary Schedule'!$D$36="Biannual",INDIRECT("'Amortization-HIDDEN-B'!O"&amp;AL4+16&amp;""),""))))</f>
        <v>0</v>
      </c>
      <c r="AM8" s="167">
        <f ca="1">IF('Summary Schedule'!$D$36="Annual",INDIRECT("'Amortization-HIDDEN'!O"&amp;AM4+16&amp;""),IF('Summary Schedule'!$D$36="Quarter",INDIRECT("'Amortization-HIDDEN-Q'!O"&amp;AM4+16&amp;""),IF('Summary Schedule'!$D$36="Month",INDIRECT("'Amortization-HIDDEN-M'!O"&amp;AM4+16&amp;""),IF('Summary Schedule'!$D$36="Biannual",INDIRECT("'Amortization-HIDDEN-B'!O"&amp;AM4+16&amp;""),""))))</f>
        <v>0</v>
      </c>
      <c r="AN8" s="167">
        <f ca="1">IF('Summary Schedule'!$D$36="Annual",INDIRECT("'Amortization-HIDDEN'!O"&amp;AN4+16&amp;""),IF('Summary Schedule'!$D$36="Quarter",INDIRECT("'Amortization-HIDDEN-Q'!O"&amp;AN4+16&amp;""),IF('Summary Schedule'!$D$36="Month",INDIRECT("'Amortization-HIDDEN-M'!O"&amp;AN4+16&amp;""),IF('Summary Schedule'!$D$36="Biannual",INDIRECT("'Amortization-HIDDEN-B'!O"&amp;AN4+16&amp;""),""))))</f>
        <v>0</v>
      </c>
      <c r="AO8" s="167">
        <f ca="1">IF('Summary Schedule'!$D$36="Annual",INDIRECT("'Amortization-HIDDEN'!O"&amp;AO4+16&amp;""),IF('Summary Schedule'!$D$36="Quarter",INDIRECT("'Amortization-HIDDEN-Q'!O"&amp;AO4+16&amp;""),IF('Summary Schedule'!$D$36="Month",INDIRECT("'Amortization-HIDDEN-M'!O"&amp;AO4+16&amp;""),IF('Summary Schedule'!$D$36="Biannual",INDIRECT("'Amortization-HIDDEN-B'!O"&amp;AO4+16&amp;""),""))))</f>
        <v>0</v>
      </c>
      <c r="AP8" s="167">
        <f ca="1">IF('Summary Schedule'!$D$36="Annual",INDIRECT("'Amortization-HIDDEN'!O"&amp;AP4+16&amp;""),IF('Summary Schedule'!$D$36="Quarter",INDIRECT("'Amortization-HIDDEN-Q'!O"&amp;AP4+16&amp;""),IF('Summary Schedule'!$D$36="Month",INDIRECT("'Amortization-HIDDEN-M'!O"&amp;AP4+16&amp;""),IF('Summary Schedule'!$D$36="Biannual",INDIRECT("'Amortization-HIDDEN-B'!O"&amp;AP4+16&amp;""),""))))</f>
        <v>0</v>
      </c>
      <c r="AQ8" s="167">
        <f ca="1">IF('Summary Schedule'!$D$36="Annual",INDIRECT("'Amortization-HIDDEN'!O"&amp;AQ4+16&amp;""),IF('Summary Schedule'!$D$36="Quarter",INDIRECT("'Amortization-HIDDEN-Q'!O"&amp;AQ4+16&amp;""),IF('Summary Schedule'!$D$36="Month",INDIRECT("'Amortization-HIDDEN-M'!O"&amp;AQ4+16&amp;""),IF('Summary Schedule'!$D$36="Biannual",INDIRECT("'Amortization-HIDDEN-B'!O"&amp;AQ4+16&amp;""),""))))</f>
        <v>0</v>
      </c>
      <c r="AR8" s="168">
        <f t="shared" ref="AR8:AR23" ca="1" si="0">SUM(D8:AB8)</f>
        <v>10339927</v>
      </c>
    </row>
    <row r="9" spans="1:44" ht="17" thickBot="1">
      <c r="A9" s="709"/>
      <c r="B9" s="32" t="s">
        <v>68</v>
      </c>
      <c r="C9" s="147"/>
      <c r="D9" s="169">
        <f t="shared" ref="D9:AA9" ca="1" si="1">SUM(D8,D5)</f>
        <v>1359828</v>
      </c>
      <c r="E9" s="169">
        <f t="shared" ca="1" si="1"/>
        <v>1386717</v>
      </c>
      <c r="F9" s="169">
        <f t="shared" ca="1" si="1"/>
        <v>1414283</v>
      </c>
      <c r="G9" s="169">
        <f t="shared" ca="1" si="1"/>
        <v>1442546</v>
      </c>
      <c r="H9" s="169">
        <f t="shared" ca="1" si="1"/>
        <v>1471526</v>
      </c>
      <c r="I9" s="169">
        <f t="shared" ca="1" si="1"/>
        <v>1501246</v>
      </c>
      <c r="J9" s="169">
        <f t="shared" ca="1" si="1"/>
        <v>1531728</v>
      </c>
      <c r="K9" s="169">
        <f t="shared" ca="1" si="1"/>
        <v>1562994</v>
      </c>
      <c r="L9" s="169">
        <f t="shared" ca="1" si="1"/>
        <v>1595070</v>
      </c>
      <c r="M9" s="169">
        <f t="shared" ca="1" si="1"/>
        <v>1627982</v>
      </c>
      <c r="N9" s="169">
        <f t="shared" ca="1" si="1"/>
        <v>1661754</v>
      </c>
      <c r="O9" s="169">
        <f t="shared" ca="1" si="1"/>
        <v>1696412</v>
      </c>
      <c r="P9" s="169">
        <f t="shared" ca="1" si="1"/>
        <v>1731985</v>
      </c>
      <c r="Q9" s="169">
        <f t="shared" ca="1" si="1"/>
        <v>1768502</v>
      </c>
      <c r="R9" s="169">
        <f t="shared" ca="1" si="1"/>
        <v>1805993</v>
      </c>
      <c r="S9" s="169">
        <f t="shared" ca="1" si="1"/>
        <v>1844485</v>
      </c>
      <c r="T9" s="169">
        <f t="shared" ca="1" si="1"/>
        <v>1884013</v>
      </c>
      <c r="U9" s="169">
        <f t="shared" ca="1" si="1"/>
        <v>1077095</v>
      </c>
      <c r="V9" s="169">
        <f t="shared" ca="1" si="1"/>
        <v>0</v>
      </c>
      <c r="W9" s="169">
        <f t="shared" ca="1" si="1"/>
        <v>0</v>
      </c>
      <c r="X9" s="169">
        <f t="shared" ca="1" si="1"/>
        <v>0</v>
      </c>
      <c r="Y9" s="169">
        <f t="shared" ca="1" si="1"/>
        <v>0</v>
      </c>
      <c r="Z9" s="169">
        <f t="shared" ca="1" si="1"/>
        <v>0</v>
      </c>
      <c r="AA9" s="169">
        <f t="shared" ca="1" si="1"/>
        <v>0</v>
      </c>
      <c r="AB9" s="169">
        <f ca="1">SUM(AB8,AB5)</f>
        <v>0</v>
      </c>
      <c r="AC9" s="169">
        <f ca="1">SUM(AC8,AC5)</f>
        <v>0</v>
      </c>
      <c r="AD9" s="169">
        <f t="shared" ref="AD9:AQ9" ca="1" si="2">SUM(AD8,AD5)</f>
        <v>0</v>
      </c>
      <c r="AE9" s="169">
        <f ca="1">SUM(AE8,AE5)</f>
        <v>0</v>
      </c>
      <c r="AF9" s="169">
        <f t="shared" ca="1" si="2"/>
        <v>0</v>
      </c>
      <c r="AG9" s="169">
        <f t="shared" ca="1" si="2"/>
        <v>0</v>
      </c>
      <c r="AH9" s="169">
        <f t="shared" ca="1" si="2"/>
        <v>0</v>
      </c>
      <c r="AI9" s="169">
        <f t="shared" ca="1" si="2"/>
        <v>0</v>
      </c>
      <c r="AJ9" s="169">
        <f t="shared" ca="1" si="2"/>
        <v>0</v>
      </c>
      <c r="AK9" s="169">
        <f t="shared" ca="1" si="2"/>
        <v>0</v>
      </c>
      <c r="AL9" s="169">
        <f t="shared" ca="1" si="2"/>
        <v>0</v>
      </c>
      <c r="AM9" s="169">
        <f t="shared" ca="1" si="2"/>
        <v>0</v>
      </c>
      <c r="AN9" s="169">
        <f ca="1">SUM(AN8,AN5)</f>
        <v>0</v>
      </c>
      <c r="AO9" s="169">
        <f t="shared" ca="1" si="2"/>
        <v>0</v>
      </c>
      <c r="AP9" s="169">
        <f t="shared" ca="1" si="2"/>
        <v>0</v>
      </c>
      <c r="AQ9" s="169">
        <f t="shared" ca="1" si="2"/>
        <v>0</v>
      </c>
      <c r="AR9" s="168">
        <f t="shared" ca="1" si="0"/>
        <v>28364159</v>
      </c>
    </row>
    <row r="10" spans="1:44" ht="17" thickBot="1">
      <c r="A10" s="33"/>
      <c r="B10" s="34"/>
      <c r="C10" s="71"/>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1"/>
    </row>
    <row r="11" spans="1:44" ht="30.75" customHeight="1" thickBot="1">
      <c r="A11" s="707" t="s">
        <v>31</v>
      </c>
      <c r="B11" s="31" t="s">
        <v>11</v>
      </c>
      <c r="C11" s="145"/>
      <c r="D11" s="275">
        <v>9198</v>
      </c>
      <c r="E11" s="275">
        <v>9409.5539999999983</v>
      </c>
      <c r="F11" s="275">
        <v>9625.9737419999965</v>
      </c>
      <c r="G11" s="275">
        <v>9847.3711380659952</v>
      </c>
      <c r="H11" s="275">
        <v>10073.860674241512</v>
      </c>
      <c r="I11" s="275">
        <v>10305.559469749067</v>
      </c>
      <c r="J11" s="275">
        <v>10542.587337553294</v>
      </c>
      <c r="K11" s="275">
        <v>10785.066846317019</v>
      </c>
      <c r="L11" s="275">
        <v>11033.123383782309</v>
      </c>
      <c r="M11" s="275">
        <v>11286.885221609302</v>
      </c>
      <c r="N11" s="275">
        <v>11546.483581706314</v>
      </c>
      <c r="O11" s="275">
        <v>11812.052704085558</v>
      </c>
      <c r="P11" s="275">
        <v>12083.729916279524</v>
      </c>
      <c r="Q11" s="275">
        <v>12361.655704353952</v>
      </c>
      <c r="R11" s="275">
        <v>12645.973785554092</v>
      </c>
      <c r="S11" s="275">
        <v>12936.831182621834</v>
      </c>
      <c r="T11" s="275">
        <v>13234.378299822136</v>
      </c>
      <c r="U11" s="275">
        <v>13538.769000718044</v>
      </c>
      <c r="V11" s="275">
        <v>13850.160687734558</v>
      </c>
      <c r="W11" s="275">
        <v>14168.714383552451</v>
      </c>
      <c r="X11" s="275">
        <v>14494.594814374157</v>
      </c>
      <c r="Y11" s="275">
        <v>14827.970495104761</v>
      </c>
      <c r="Z11" s="275">
        <v>15169.013816492168</v>
      </c>
      <c r="AA11" s="275">
        <v>15517.901134271488</v>
      </c>
      <c r="AB11" s="275">
        <v>15874.812860359731</v>
      </c>
      <c r="AC11" s="275"/>
      <c r="AD11" s="275"/>
      <c r="AE11" s="275"/>
      <c r="AF11" s="275"/>
      <c r="AG11" s="275"/>
      <c r="AH11" s="275"/>
      <c r="AI11" s="275"/>
      <c r="AJ11" s="275"/>
      <c r="AK11" s="275"/>
      <c r="AL11" s="275"/>
      <c r="AM11" s="275"/>
      <c r="AN11" s="275"/>
      <c r="AO11" s="275"/>
      <c r="AP11" s="275"/>
      <c r="AQ11" s="275"/>
      <c r="AR11" s="168">
        <f t="shared" si="0"/>
        <v>306171.02418034925</v>
      </c>
    </row>
    <row r="12" spans="1:44" ht="17" thickBot="1">
      <c r="A12" s="708"/>
      <c r="B12" s="31" t="s">
        <v>48</v>
      </c>
      <c r="C12" s="146"/>
      <c r="D12" s="275"/>
      <c r="E12" s="275"/>
      <c r="F12" s="275"/>
      <c r="G12" s="275"/>
      <c r="H12" s="275"/>
      <c r="I12" s="275"/>
      <c r="J12" s="275"/>
      <c r="K12" s="275"/>
      <c r="L12" s="275"/>
      <c r="M12" s="275"/>
      <c r="N12" s="275"/>
      <c r="O12" s="275"/>
      <c r="P12" s="275"/>
      <c r="Q12" s="275"/>
      <c r="R12" s="275"/>
      <c r="S12" s="275"/>
      <c r="T12" s="275"/>
      <c r="U12" s="275"/>
      <c r="V12" s="275"/>
      <c r="W12" s="275">
        <v>0</v>
      </c>
      <c r="X12" s="275">
        <v>0</v>
      </c>
      <c r="Y12" s="275">
        <v>0</v>
      </c>
      <c r="Z12" s="275">
        <v>0</v>
      </c>
      <c r="AA12" s="275">
        <v>0</v>
      </c>
      <c r="AB12" s="275">
        <v>0</v>
      </c>
      <c r="AC12" s="275"/>
      <c r="AD12" s="275"/>
      <c r="AE12" s="275"/>
      <c r="AF12" s="275"/>
      <c r="AG12" s="275"/>
      <c r="AH12" s="275"/>
      <c r="AI12" s="275"/>
      <c r="AJ12" s="275"/>
      <c r="AK12" s="275"/>
      <c r="AL12" s="275"/>
      <c r="AM12" s="275"/>
      <c r="AN12" s="275"/>
      <c r="AO12" s="275"/>
      <c r="AP12" s="275"/>
      <c r="AQ12" s="275"/>
      <c r="AR12" s="168">
        <f t="shared" si="0"/>
        <v>0</v>
      </c>
    </row>
    <row r="13" spans="1:44" ht="17" thickBot="1">
      <c r="A13" s="708"/>
      <c r="B13" s="31" t="s">
        <v>12</v>
      </c>
      <c r="C13" s="146"/>
      <c r="D13" s="275"/>
      <c r="E13" s="275"/>
      <c r="F13" s="275"/>
      <c r="G13" s="275"/>
      <c r="H13" s="275"/>
      <c r="I13" s="275"/>
      <c r="J13" s="275"/>
      <c r="K13" s="275"/>
      <c r="L13" s="275"/>
      <c r="M13" s="275"/>
      <c r="N13" s="275"/>
      <c r="O13" s="275"/>
      <c r="P13" s="275"/>
      <c r="Q13" s="275"/>
      <c r="R13" s="275"/>
      <c r="S13" s="275"/>
      <c r="T13" s="275"/>
      <c r="U13" s="275"/>
      <c r="V13" s="275"/>
      <c r="W13" s="275">
        <v>0</v>
      </c>
      <c r="X13" s="275">
        <v>0</v>
      </c>
      <c r="Y13" s="275">
        <v>0</v>
      </c>
      <c r="Z13" s="275">
        <v>0</v>
      </c>
      <c r="AA13" s="275">
        <v>0</v>
      </c>
      <c r="AB13" s="275">
        <v>0</v>
      </c>
      <c r="AC13" s="275"/>
      <c r="AD13" s="275"/>
      <c r="AE13" s="275"/>
      <c r="AF13" s="275"/>
      <c r="AG13" s="275"/>
      <c r="AH13" s="275"/>
      <c r="AI13" s="275"/>
      <c r="AJ13" s="275"/>
      <c r="AK13" s="275"/>
      <c r="AL13" s="275"/>
      <c r="AM13" s="275"/>
      <c r="AN13" s="275"/>
      <c r="AO13" s="275"/>
      <c r="AP13" s="275"/>
      <c r="AQ13" s="275"/>
      <c r="AR13" s="168">
        <f t="shared" si="0"/>
        <v>0</v>
      </c>
    </row>
    <row r="14" spans="1:44" ht="17" thickBot="1">
      <c r="A14" s="708"/>
      <c r="B14" s="31" t="s">
        <v>13</v>
      </c>
      <c r="C14" s="146"/>
      <c r="D14" s="275">
        <v>52122</v>
      </c>
      <c r="E14" s="275">
        <v>53320.805999999997</v>
      </c>
      <c r="F14" s="275">
        <v>54547.184537999994</v>
      </c>
      <c r="G14" s="275">
        <v>55801.769782373987</v>
      </c>
      <c r="H14" s="275">
        <v>57085.210487368582</v>
      </c>
      <c r="I14" s="275">
        <v>58398.170328578053</v>
      </c>
      <c r="J14" s="275">
        <v>59741.328246135345</v>
      </c>
      <c r="K14" s="275">
        <v>61115.378795796452</v>
      </c>
      <c r="L14" s="275">
        <v>62521.032508099765</v>
      </c>
      <c r="M14" s="275">
        <v>63959.016255786053</v>
      </c>
      <c r="N14" s="275">
        <v>65430.073629669125</v>
      </c>
      <c r="O14" s="275">
        <v>66934.965323151511</v>
      </c>
      <c r="P14" s="275">
        <v>68474.469525583991</v>
      </c>
      <c r="Q14" s="275">
        <v>70049.382324672421</v>
      </c>
      <c r="R14" s="275">
        <v>71660.51811813988</v>
      </c>
      <c r="S14" s="275">
        <v>73308.710034857097</v>
      </c>
      <c r="T14" s="275">
        <v>74994.810365658806</v>
      </c>
      <c r="U14" s="275">
        <v>76719.691004068954</v>
      </c>
      <c r="V14" s="275">
        <v>78484.243897162538</v>
      </c>
      <c r="W14" s="275">
        <v>80289.381506797276</v>
      </c>
      <c r="X14" s="275">
        <v>82136.037281453609</v>
      </c>
      <c r="Y14" s="275">
        <v>84025.16613892703</v>
      </c>
      <c r="Z14" s="275">
        <v>85957.744960122349</v>
      </c>
      <c r="AA14" s="275">
        <v>87934.773094205157</v>
      </c>
      <c r="AB14" s="275">
        <v>89957.272875371869</v>
      </c>
      <c r="AC14" s="275"/>
      <c r="AD14" s="275"/>
      <c r="AE14" s="275"/>
      <c r="AF14" s="275"/>
      <c r="AG14" s="275"/>
      <c r="AH14" s="275"/>
      <c r="AI14" s="275"/>
      <c r="AJ14" s="275"/>
      <c r="AK14" s="275"/>
      <c r="AL14" s="275"/>
      <c r="AM14" s="275"/>
      <c r="AN14" s="275"/>
      <c r="AO14" s="275"/>
      <c r="AP14" s="275"/>
      <c r="AQ14" s="275"/>
      <c r="AR14" s="168">
        <f t="shared" si="0"/>
        <v>1734969.1370219798</v>
      </c>
    </row>
    <row r="15" spans="1:44" ht="31" thickBot="1">
      <c r="A15" s="708"/>
      <c r="B15" s="198" t="str">
        <f>IF('Summary Schedule'!C4="UESC", "Performance Assurance", "Measurement and Verification*")</f>
        <v>Measurement and Verification*</v>
      </c>
      <c r="C15" s="146"/>
      <c r="D15" s="275">
        <v>36792</v>
      </c>
      <c r="E15" s="275">
        <v>37638.215999999993</v>
      </c>
      <c r="F15" s="275">
        <v>38503.894967999986</v>
      </c>
      <c r="G15" s="275">
        <v>39389.484552263981</v>
      </c>
      <c r="H15" s="275">
        <v>40295.442696966049</v>
      </c>
      <c r="I15" s="275">
        <v>41222.237878996268</v>
      </c>
      <c r="J15" s="275">
        <v>42170.349350213175</v>
      </c>
      <c r="K15" s="275">
        <v>43140.267385268075</v>
      </c>
      <c r="L15" s="275">
        <v>44132.493535129237</v>
      </c>
      <c r="M15" s="275">
        <v>45147.540886437208</v>
      </c>
      <c r="N15" s="275">
        <v>46185.934326825256</v>
      </c>
      <c r="O15" s="275">
        <v>47248.210816342231</v>
      </c>
      <c r="P15" s="275">
        <v>48334.919665118097</v>
      </c>
      <c r="Q15" s="275">
        <v>49446.62281741581</v>
      </c>
      <c r="R15" s="275">
        <v>50583.895142216366</v>
      </c>
      <c r="S15" s="275">
        <v>51747.324730487337</v>
      </c>
      <c r="T15" s="275">
        <v>52937.513199288544</v>
      </c>
      <c r="U15" s="275">
        <v>54155.076002872178</v>
      </c>
      <c r="V15" s="275">
        <v>55400.642750938234</v>
      </c>
      <c r="W15" s="275">
        <v>56674.857534209805</v>
      </c>
      <c r="X15" s="275">
        <v>57978.379257496628</v>
      </c>
      <c r="Y15" s="275">
        <v>59311.881980419043</v>
      </c>
      <c r="Z15" s="275">
        <v>60676.055265968673</v>
      </c>
      <c r="AA15" s="275">
        <v>62071.60453708595</v>
      </c>
      <c r="AB15" s="275">
        <v>63499.251441438922</v>
      </c>
      <c r="AC15" s="275"/>
      <c r="AD15" s="275"/>
      <c r="AE15" s="275"/>
      <c r="AF15" s="275"/>
      <c r="AG15" s="275"/>
      <c r="AH15" s="275"/>
      <c r="AI15" s="275"/>
      <c r="AJ15" s="275"/>
      <c r="AK15" s="275"/>
      <c r="AL15" s="275"/>
      <c r="AM15" s="275"/>
      <c r="AN15" s="275"/>
      <c r="AO15" s="275"/>
      <c r="AP15" s="275"/>
      <c r="AQ15" s="275"/>
      <c r="AR15" s="168">
        <f t="shared" si="0"/>
        <v>1224684.096721397</v>
      </c>
    </row>
    <row r="16" spans="1:44" ht="17" thickBot="1">
      <c r="A16" s="708"/>
      <c r="B16" s="157" t="s">
        <v>321</v>
      </c>
      <c r="C16" s="146"/>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168">
        <f t="shared" si="0"/>
        <v>0</v>
      </c>
    </row>
    <row r="17" spans="1:44" ht="17" thickBot="1">
      <c r="A17" s="708"/>
      <c r="B17" s="157" t="s">
        <v>322</v>
      </c>
      <c r="C17" s="146"/>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168">
        <f t="shared" si="0"/>
        <v>0</v>
      </c>
    </row>
    <row r="18" spans="1:44" ht="46" thickBot="1">
      <c r="A18" s="708"/>
      <c r="B18" s="35" t="str">
        <f>IF('Summary Schedule'!C4="UESC", "SUBTOTAL Before Application of Mark-up", "SUBTOTAL Before Application of Performance Period Delivery Percentage")</f>
        <v>SUBTOTAL Before Application of Performance Period Delivery Percentage</v>
      </c>
      <c r="C18" s="146"/>
      <c r="D18" s="167">
        <f>SUM(D11:D17)</f>
        <v>98112</v>
      </c>
      <c r="E18" s="167">
        <f>SUM(E11:E17)</f>
        <v>100368.57599999999</v>
      </c>
      <c r="F18" s="167">
        <f t="shared" ref="F18:AB18" si="3">SUM(F11:F17)</f>
        <v>102677.05324799998</v>
      </c>
      <c r="G18" s="167">
        <f t="shared" si="3"/>
        <v>105038.62547270396</v>
      </c>
      <c r="H18" s="167">
        <f t="shared" si="3"/>
        <v>107454.51385857613</v>
      </c>
      <c r="I18" s="167">
        <f t="shared" si="3"/>
        <v>109925.96767732338</v>
      </c>
      <c r="J18" s="167">
        <f t="shared" si="3"/>
        <v>112454.26493390181</v>
      </c>
      <c r="K18" s="167">
        <f t="shared" si="3"/>
        <v>115040.71302738154</v>
      </c>
      <c r="L18" s="167">
        <f t="shared" si="3"/>
        <v>117686.64942701132</v>
      </c>
      <c r="M18" s="167">
        <f t="shared" si="3"/>
        <v>120393.44236383255</v>
      </c>
      <c r="N18" s="167">
        <f t="shared" si="3"/>
        <v>123162.4915382007</v>
      </c>
      <c r="O18" s="167">
        <f t="shared" si="3"/>
        <v>125995.2288435793</v>
      </c>
      <c r="P18" s="167">
        <f t="shared" si="3"/>
        <v>128893.11910698161</v>
      </c>
      <c r="Q18" s="167">
        <f t="shared" si="3"/>
        <v>131857.66084644219</v>
      </c>
      <c r="R18" s="167">
        <f t="shared" si="3"/>
        <v>134890.38704591035</v>
      </c>
      <c r="S18" s="167">
        <f t="shared" si="3"/>
        <v>137992.86594796626</v>
      </c>
      <c r="T18" s="167">
        <f t="shared" si="3"/>
        <v>141166.70186476948</v>
      </c>
      <c r="U18" s="167">
        <f t="shared" si="3"/>
        <v>144413.53600765919</v>
      </c>
      <c r="V18" s="167">
        <f t="shared" si="3"/>
        <v>147735.04733583535</v>
      </c>
      <c r="W18" s="167">
        <f t="shared" si="3"/>
        <v>151132.95342455953</v>
      </c>
      <c r="X18" s="167">
        <f t="shared" si="3"/>
        <v>154609.0113533244</v>
      </c>
      <c r="Y18" s="167">
        <f t="shared" si="3"/>
        <v>158165.01861445082</v>
      </c>
      <c r="Z18" s="167">
        <f t="shared" si="3"/>
        <v>161802.8140425832</v>
      </c>
      <c r="AA18" s="167">
        <f t="shared" si="3"/>
        <v>165524.2787655626</v>
      </c>
      <c r="AB18" s="167">
        <f t="shared" si="3"/>
        <v>169331.33717717053</v>
      </c>
      <c r="AC18" s="167">
        <f t="shared" ref="AC18:AQ18" si="4">SUM(AC11:AC17)</f>
        <v>0</v>
      </c>
      <c r="AD18" s="167">
        <f t="shared" si="4"/>
        <v>0</v>
      </c>
      <c r="AE18" s="167">
        <f t="shared" si="4"/>
        <v>0</v>
      </c>
      <c r="AF18" s="167">
        <f t="shared" si="4"/>
        <v>0</v>
      </c>
      <c r="AG18" s="167">
        <f t="shared" si="4"/>
        <v>0</v>
      </c>
      <c r="AH18" s="167">
        <f t="shared" si="4"/>
        <v>0</v>
      </c>
      <c r="AI18" s="167">
        <f t="shared" si="4"/>
        <v>0</v>
      </c>
      <c r="AJ18" s="167">
        <f t="shared" si="4"/>
        <v>0</v>
      </c>
      <c r="AK18" s="167">
        <f t="shared" si="4"/>
        <v>0</v>
      </c>
      <c r="AL18" s="167">
        <f t="shared" si="4"/>
        <v>0</v>
      </c>
      <c r="AM18" s="167">
        <f t="shared" si="4"/>
        <v>0</v>
      </c>
      <c r="AN18" s="167">
        <f t="shared" si="4"/>
        <v>0</v>
      </c>
      <c r="AO18" s="167">
        <f t="shared" si="4"/>
        <v>0</v>
      </c>
      <c r="AP18" s="167">
        <f t="shared" si="4"/>
        <v>0</v>
      </c>
      <c r="AQ18" s="167">
        <f t="shared" si="4"/>
        <v>0</v>
      </c>
      <c r="AR18" s="168">
        <f t="shared" si="0"/>
        <v>3265824.257923726</v>
      </c>
    </row>
    <row r="19" spans="1:44" s="425" customFormat="1" ht="31" thickBot="1">
      <c r="A19" s="708"/>
      <c r="B19" s="198" t="str">
        <f>IF('Summary Schedule'!C4="UESC", "Mark-up (Overhead &amp; Profit %)", "Performance Period Delivery Percentage (%)*")</f>
        <v>Performance Period Delivery Percentage (%)*</v>
      </c>
      <c r="C19" s="146"/>
      <c r="D19" s="424">
        <v>0.28000000000000003</v>
      </c>
      <c r="E19" s="424">
        <v>0.28000000000000003</v>
      </c>
      <c r="F19" s="424">
        <v>0.28000000000000003</v>
      </c>
      <c r="G19" s="424">
        <v>0.28000000000000003</v>
      </c>
      <c r="H19" s="424">
        <v>0.28000000000000003</v>
      </c>
      <c r="I19" s="424">
        <v>0.28000000000000003</v>
      </c>
      <c r="J19" s="424">
        <v>0.28000000000000003</v>
      </c>
      <c r="K19" s="424">
        <v>0.28000000000000003</v>
      </c>
      <c r="L19" s="424">
        <v>0.28000000000000003</v>
      </c>
      <c r="M19" s="424">
        <v>0.28000000000000003</v>
      </c>
      <c r="N19" s="424">
        <v>0.28000000000000003</v>
      </c>
      <c r="O19" s="424">
        <v>0.28000000000000003</v>
      </c>
      <c r="P19" s="424">
        <v>0.28000000000000003</v>
      </c>
      <c r="Q19" s="424">
        <v>0.28000000000000003</v>
      </c>
      <c r="R19" s="424">
        <v>0.28000000000000003</v>
      </c>
      <c r="S19" s="424">
        <v>0.28000000000000003</v>
      </c>
      <c r="T19" s="424">
        <v>0.28000000000000003</v>
      </c>
      <c r="U19" s="424">
        <v>0.28000000000000003</v>
      </c>
      <c r="V19" s="424">
        <v>0.28000000000000003</v>
      </c>
      <c r="W19" s="424">
        <v>0.28000000000000003</v>
      </c>
      <c r="X19" s="424">
        <v>0.28000000000000003</v>
      </c>
      <c r="Y19" s="424">
        <v>0.28000000000000003</v>
      </c>
      <c r="Z19" s="424">
        <v>0.28000000000000003</v>
      </c>
      <c r="AA19" s="424">
        <v>0.28000000000000003</v>
      </c>
      <c r="AB19" s="424">
        <v>0.28000000000000003</v>
      </c>
      <c r="AC19" s="424"/>
      <c r="AD19" s="424"/>
      <c r="AE19" s="424"/>
      <c r="AF19" s="424"/>
      <c r="AG19" s="424"/>
      <c r="AH19" s="424"/>
      <c r="AI19" s="424"/>
      <c r="AJ19" s="424"/>
      <c r="AK19" s="424"/>
      <c r="AL19" s="424"/>
      <c r="AM19" s="424"/>
      <c r="AN19" s="424"/>
      <c r="AO19" s="424"/>
      <c r="AP19" s="424"/>
      <c r="AQ19" s="424"/>
      <c r="AR19" s="138"/>
    </row>
    <row r="20" spans="1:44" ht="31" thickBot="1">
      <c r="A20" s="708"/>
      <c r="B20" s="35" t="str">
        <f>IF('Summary Schedule'!C4="UESC", "Mark-up (Overhead &amp; Profit-$)", "Performance Period Delivery Charge ($)")</f>
        <v>Performance Period Delivery Charge ($)</v>
      </c>
      <c r="C20" s="146"/>
      <c r="D20" s="256">
        <f t="shared" ref="D20:K20" si="5">ROUND(D19*D18,0)</f>
        <v>27471</v>
      </c>
      <c r="E20" s="256">
        <f t="shared" si="5"/>
        <v>28103</v>
      </c>
      <c r="F20" s="256">
        <f t="shared" si="5"/>
        <v>28750</v>
      </c>
      <c r="G20" s="256">
        <f t="shared" si="5"/>
        <v>29411</v>
      </c>
      <c r="H20" s="256">
        <f t="shared" si="5"/>
        <v>30087</v>
      </c>
      <c r="I20" s="256">
        <f t="shared" si="5"/>
        <v>30779</v>
      </c>
      <c r="J20" s="256">
        <f t="shared" si="5"/>
        <v>31487</v>
      </c>
      <c r="K20" s="256">
        <f t="shared" si="5"/>
        <v>32211</v>
      </c>
      <c r="L20" s="256">
        <f>ROUND(L19*L18,0)</f>
        <v>32952</v>
      </c>
      <c r="M20" s="256">
        <f t="shared" ref="M20:AB20" si="6">ROUND(M19*M18,0)</f>
        <v>33710</v>
      </c>
      <c r="N20" s="256">
        <f t="shared" si="6"/>
        <v>34485</v>
      </c>
      <c r="O20" s="256">
        <f t="shared" si="6"/>
        <v>35279</v>
      </c>
      <c r="P20" s="256">
        <f t="shared" si="6"/>
        <v>36090</v>
      </c>
      <c r="Q20" s="256">
        <f t="shared" si="6"/>
        <v>36920</v>
      </c>
      <c r="R20" s="256">
        <f t="shared" si="6"/>
        <v>37769</v>
      </c>
      <c r="S20" s="256">
        <f t="shared" si="6"/>
        <v>38638</v>
      </c>
      <c r="T20" s="256">
        <f t="shared" si="6"/>
        <v>39527</v>
      </c>
      <c r="U20" s="256">
        <f t="shared" si="6"/>
        <v>40436</v>
      </c>
      <c r="V20" s="256">
        <f t="shared" si="6"/>
        <v>41366</v>
      </c>
      <c r="W20" s="256">
        <f t="shared" si="6"/>
        <v>42317</v>
      </c>
      <c r="X20" s="256">
        <f t="shared" si="6"/>
        <v>43291</v>
      </c>
      <c r="Y20" s="256">
        <f t="shared" si="6"/>
        <v>44286</v>
      </c>
      <c r="Z20" s="256">
        <f t="shared" si="6"/>
        <v>45305</v>
      </c>
      <c r="AA20" s="256">
        <f t="shared" si="6"/>
        <v>46347</v>
      </c>
      <c r="AB20" s="256">
        <f t="shared" si="6"/>
        <v>47413</v>
      </c>
      <c r="AC20" s="256">
        <f t="shared" ref="AC20:AQ20" si="7">ROUND(AC19*AC18,0)</f>
        <v>0</v>
      </c>
      <c r="AD20" s="256">
        <f t="shared" si="7"/>
        <v>0</v>
      </c>
      <c r="AE20" s="256">
        <f t="shared" si="7"/>
        <v>0</v>
      </c>
      <c r="AF20" s="256">
        <f t="shared" si="7"/>
        <v>0</v>
      </c>
      <c r="AG20" s="256">
        <f t="shared" si="7"/>
        <v>0</v>
      </c>
      <c r="AH20" s="256">
        <f t="shared" si="7"/>
        <v>0</v>
      </c>
      <c r="AI20" s="256">
        <f t="shared" si="7"/>
        <v>0</v>
      </c>
      <c r="AJ20" s="256">
        <f t="shared" si="7"/>
        <v>0</v>
      </c>
      <c r="AK20" s="256">
        <f t="shared" si="7"/>
        <v>0</v>
      </c>
      <c r="AL20" s="256">
        <f t="shared" si="7"/>
        <v>0</v>
      </c>
      <c r="AM20" s="256">
        <f t="shared" si="7"/>
        <v>0</v>
      </c>
      <c r="AN20" s="256">
        <f t="shared" si="7"/>
        <v>0</v>
      </c>
      <c r="AO20" s="256">
        <f t="shared" si="7"/>
        <v>0</v>
      </c>
      <c r="AP20" s="256">
        <f t="shared" si="7"/>
        <v>0</v>
      </c>
      <c r="AQ20" s="256">
        <f t="shared" si="7"/>
        <v>0</v>
      </c>
      <c r="AR20" s="168">
        <f t="shared" si="0"/>
        <v>914430</v>
      </c>
    </row>
    <row r="21" spans="1:44" ht="31" thickBot="1">
      <c r="A21" s="709"/>
      <c r="B21" s="35" t="s">
        <v>313</v>
      </c>
      <c r="C21" s="146"/>
      <c r="D21" s="172">
        <f>ROUND(D18+D20,0)</f>
        <v>125583</v>
      </c>
      <c r="E21" s="172">
        <f t="shared" ref="E21:AB21" si="8">ROUND(E18+E20,0)</f>
        <v>128472</v>
      </c>
      <c r="F21" s="172">
        <f t="shared" si="8"/>
        <v>131427</v>
      </c>
      <c r="G21" s="172">
        <f t="shared" si="8"/>
        <v>134450</v>
      </c>
      <c r="H21" s="172">
        <f t="shared" si="8"/>
        <v>137542</v>
      </c>
      <c r="I21" s="172">
        <f t="shared" si="8"/>
        <v>140705</v>
      </c>
      <c r="J21" s="172">
        <f t="shared" si="8"/>
        <v>143941</v>
      </c>
      <c r="K21" s="172">
        <f t="shared" si="8"/>
        <v>147252</v>
      </c>
      <c r="L21" s="172">
        <f t="shared" si="8"/>
        <v>150639</v>
      </c>
      <c r="M21" s="172">
        <f t="shared" si="8"/>
        <v>154103</v>
      </c>
      <c r="N21" s="172">
        <f t="shared" si="8"/>
        <v>157647</v>
      </c>
      <c r="O21" s="172">
        <f t="shared" si="8"/>
        <v>161274</v>
      </c>
      <c r="P21" s="172">
        <f t="shared" si="8"/>
        <v>164983</v>
      </c>
      <c r="Q21" s="172">
        <f t="shared" si="8"/>
        <v>168778</v>
      </c>
      <c r="R21" s="172">
        <f t="shared" si="8"/>
        <v>172659</v>
      </c>
      <c r="S21" s="172">
        <f t="shared" si="8"/>
        <v>176631</v>
      </c>
      <c r="T21" s="172">
        <f t="shared" si="8"/>
        <v>180694</v>
      </c>
      <c r="U21" s="172">
        <f t="shared" si="8"/>
        <v>184850</v>
      </c>
      <c r="V21" s="172">
        <f t="shared" si="8"/>
        <v>189101</v>
      </c>
      <c r="W21" s="172">
        <f t="shared" si="8"/>
        <v>193450</v>
      </c>
      <c r="X21" s="172">
        <f t="shared" si="8"/>
        <v>197900</v>
      </c>
      <c r="Y21" s="172">
        <f t="shared" si="8"/>
        <v>202451</v>
      </c>
      <c r="Z21" s="172">
        <f t="shared" si="8"/>
        <v>207108</v>
      </c>
      <c r="AA21" s="172">
        <f t="shared" si="8"/>
        <v>211871</v>
      </c>
      <c r="AB21" s="172">
        <f t="shared" si="8"/>
        <v>216744</v>
      </c>
      <c r="AC21" s="172">
        <f t="shared" ref="AC21:AQ21" si="9">ROUND(AC18+AC20,0)</f>
        <v>0</v>
      </c>
      <c r="AD21" s="172">
        <f t="shared" si="9"/>
        <v>0</v>
      </c>
      <c r="AE21" s="172">
        <f t="shared" si="9"/>
        <v>0</v>
      </c>
      <c r="AF21" s="172">
        <f t="shared" si="9"/>
        <v>0</v>
      </c>
      <c r="AG21" s="172">
        <f t="shared" si="9"/>
        <v>0</v>
      </c>
      <c r="AH21" s="172">
        <f t="shared" si="9"/>
        <v>0</v>
      </c>
      <c r="AI21" s="172">
        <f t="shared" si="9"/>
        <v>0</v>
      </c>
      <c r="AJ21" s="172">
        <f t="shared" si="9"/>
        <v>0</v>
      </c>
      <c r="AK21" s="172">
        <f t="shared" si="9"/>
        <v>0</v>
      </c>
      <c r="AL21" s="172">
        <f t="shared" si="9"/>
        <v>0</v>
      </c>
      <c r="AM21" s="172">
        <f t="shared" si="9"/>
        <v>0</v>
      </c>
      <c r="AN21" s="172">
        <f t="shared" si="9"/>
        <v>0</v>
      </c>
      <c r="AO21" s="172">
        <f t="shared" si="9"/>
        <v>0</v>
      </c>
      <c r="AP21" s="172">
        <f t="shared" si="9"/>
        <v>0</v>
      </c>
      <c r="AQ21" s="172">
        <f t="shared" si="9"/>
        <v>0</v>
      </c>
      <c r="AR21" s="168">
        <f t="shared" si="0"/>
        <v>4180255</v>
      </c>
    </row>
    <row r="22" spans="1:44" ht="18" thickBot="1">
      <c r="A22" s="37" t="str">
        <f>IF('Summary Schedule'!C4="ESA", "ESA Payments","")</f>
        <v/>
      </c>
      <c r="B22" s="36"/>
      <c r="C22" s="172" t="str">
        <f>IF('Summary Schedule'!C4="ESA", 'Sch1ee-Ann Cost Sav &amp; Pymts'!D6,"")</f>
        <v/>
      </c>
      <c r="D22" s="172" t="str">
        <f>IF('Summary Schedule'!C4="ESA",'Sch1ee-Ann Cost Sav &amp; Pymts'!E9,"")</f>
        <v/>
      </c>
      <c r="E22" s="172" t="str">
        <f>IF('Summary Schedule'!C4="ESA",'Sch1ee-Ann Cost Sav &amp; Pymts'!E10,"")</f>
        <v/>
      </c>
      <c r="F22" s="172" t="str">
        <f>IF('Summary Schedule'!C4="ESA",'Sch1ee-Ann Cost Sav &amp; Pymts'!E11,"")</f>
        <v/>
      </c>
      <c r="G22" s="172" t="str">
        <f>IF('Summary Schedule'!C4="ESA",'Sch1ee-Ann Cost Sav &amp; Pymts'!E12,"")</f>
        <v/>
      </c>
      <c r="H22" s="172" t="str">
        <f>IF('Summary Schedule'!C4="ESA",'Sch1ee-Ann Cost Sav &amp; Pymts'!E13,"")</f>
        <v/>
      </c>
      <c r="I22" s="172" t="str">
        <f>IF('Summary Schedule'!C4="ESA",'Sch1ee-Ann Cost Sav &amp; Pymts'!E14,"")</f>
        <v/>
      </c>
      <c r="J22" s="172" t="str">
        <f>IF('Summary Schedule'!C4="ESA",'Sch1ee-Ann Cost Sav &amp; Pymts'!E15,"")</f>
        <v/>
      </c>
      <c r="K22" s="172" t="str">
        <f>IF('Summary Schedule'!C4="ESA",'Sch1ee-Ann Cost Sav &amp; Pymts'!E16,"")</f>
        <v/>
      </c>
      <c r="L22" s="172" t="str">
        <f>IF('Summary Schedule'!C4="ESA",'Sch1ee-Ann Cost Sav &amp; Pymts'!E17,"")</f>
        <v/>
      </c>
      <c r="M22" s="172" t="str">
        <f>IF('Summary Schedule'!C4="ESA",'Sch1ee-Ann Cost Sav &amp; Pymts'!E18,"")</f>
        <v/>
      </c>
      <c r="N22" s="172" t="str">
        <f>IF('Summary Schedule'!C4="ESA",'Sch1ee-Ann Cost Sav &amp; Pymts'!E19,"")</f>
        <v/>
      </c>
      <c r="O22" s="172" t="str">
        <f>IF('Summary Schedule'!C4="ESA",'Sch1ee-Ann Cost Sav &amp; Pymts'!E20,"")</f>
        <v/>
      </c>
      <c r="P22" s="172" t="str">
        <f>IF('Summary Schedule'!C4="ESA",'Sch1ee-Ann Cost Sav &amp; Pymts'!E21,"")</f>
        <v/>
      </c>
      <c r="Q22" s="172" t="str">
        <f>IF('Summary Schedule'!C4="ESA",'Sch1ee-Ann Cost Sav &amp; Pymts'!E22,"")</f>
        <v/>
      </c>
      <c r="R22" s="172" t="str">
        <f>IF('Summary Schedule'!C4="ESA",'Sch1ee-Ann Cost Sav &amp; Pymts'!E23,"")</f>
        <v/>
      </c>
      <c r="S22" s="172" t="str">
        <f>IF('Summary Schedule'!C4="ESA",'Sch1ee-Ann Cost Sav &amp; Pymts'!E24,"")</f>
        <v/>
      </c>
      <c r="T22" s="172" t="str">
        <f>IF('Summary Schedule'!C4="ESA",'Sch1ee-Ann Cost Sav &amp; Pymts'!E25,"")</f>
        <v/>
      </c>
      <c r="U22" s="172" t="str">
        <f>IF('Summary Schedule'!C4="ESA", 'Sch1ee-Ann Cost Sav &amp; Pymts'!E26,"")</f>
        <v/>
      </c>
      <c r="V22" s="172" t="str">
        <f>IF('Summary Schedule'!C4="ESA",'Sch1ee-Ann Cost Sav &amp; Pymts'!E27,"")</f>
        <v/>
      </c>
      <c r="W22" s="172" t="str">
        <f>IF('Summary Schedule'!C4="ESA",'Sch1ee-Ann Cost Sav &amp; Pymts'!E28,"")</f>
        <v/>
      </c>
      <c r="X22" s="172" t="str">
        <f>IF('Summary Schedule'!C4="ESA",'Sch1ee-Ann Cost Sav &amp; Pymts'!E29,"")</f>
        <v/>
      </c>
      <c r="Y22" s="172" t="str">
        <f>IF('Summary Schedule'!C4="ESA",'Sch1ee-Ann Cost Sav &amp; Pymts'!E30,"")</f>
        <v/>
      </c>
      <c r="Z22" s="172" t="str">
        <f>IF('Summary Schedule'!C4="ESA",'Sch1ee-Ann Cost Sav &amp; Pymts'!E31,"")</f>
        <v/>
      </c>
      <c r="AA22" s="172" t="str">
        <f>IF('Summary Schedule'!C4="ESA",'Sch1ee-Ann Cost Sav &amp; Pymts'!E32,"")</f>
        <v/>
      </c>
      <c r="AB22" s="172" t="str">
        <f>IF('Summary Schedule'!C4="ESA",'Sch1ee-Ann Cost Sav &amp; Pymts'!E33,"")</f>
        <v/>
      </c>
      <c r="AC22" s="172" t="str">
        <f>IF('Summary Schedule'!D4="ESA",'Sch1ee-Ann Cost Sav &amp; Pymts'!F33,"")</f>
        <v/>
      </c>
      <c r="AD22" s="172" t="str">
        <f>IF('Summary Schedule'!E4="ESA",'Sch1ee-Ann Cost Sav &amp; Pymts'!G33,"")</f>
        <v/>
      </c>
      <c r="AE22" s="172" t="str">
        <f>IF('Summary Schedule'!F4="ESA",'Sch1ee-Ann Cost Sav &amp; Pymts'!H33,"")</f>
        <v/>
      </c>
      <c r="AF22" s="172" t="str">
        <f>IF('Summary Schedule'!G4="ESA",'Sch1ee-Ann Cost Sav &amp; Pymts'!I33,"")</f>
        <v/>
      </c>
      <c r="AG22" s="172" t="str">
        <f>IF('Summary Schedule'!H4="ESA",'Sch1ee-Ann Cost Sav &amp; Pymts'!J33,"")</f>
        <v/>
      </c>
      <c r="AH22" s="172" t="str">
        <f>IF('Summary Schedule'!I4="ESA",'Sch1ee-Ann Cost Sav &amp; Pymts'!K33,"")</f>
        <v/>
      </c>
      <c r="AI22" s="172" t="str">
        <f>IF('Summary Schedule'!J4="ESA",'Sch1ee-Ann Cost Sav &amp; Pymts'!L33,"")</f>
        <v/>
      </c>
      <c r="AJ22" s="172" t="str">
        <f>IF('Summary Schedule'!K4="ESA",'Sch1ee-Ann Cost Sav &amp; Pymts'!M33,"")</f>
        <v/>
      </c>
      <c r="AK22" s="172" t="str">
        <f>IF('Summary Schedule'!L4="ESA",'Sch1ee-Ann Cost Sav &amp; Pymts'!N33,"")</f>
        <v/>
      </c>
      <c r="AL22" s="172" t="str">
        <f>IF('Summary Schedule'!M4="ESA",'Sch1ee-Ann Cost Sav &amp; Pymts'!O33,"")</f>
        <v/>
      </c>
      <c r="AM22" s="172" t="str">
        <f>IF('Summary Schedule'!N4="ESA",'Sch1ee-Ann Cost Sav &amp; Pymts'!P33,"")</f>
        <v/>
      </c>
      <c r="AN22" s="172" t="str">
        <f>IF('Summary Schedule'!O4="ESA",'Sch1ee-Ann Cost Sav &amp; Pymts'!Q33,"")</f>
        <v/>
      </c>
      <c r="AO22" s="172" t="str">
        <f>IF('Summary Schedule'!P4="ESA",'Sch1ee-Ann Cost Sav &amp; Pymts'!R33,"")</f>
        <v/>
      </c>
      <c r="AP22" s="172" t="str">
        <f>IF('Summary Schedule'!Q4="ESA",'Sch1ee-Ann Cost Sav &amp; Pymts'!S33,"")</f>
        <v/>
      </c>
      <c r="AQ22" s="172" t="str">
        <f>IF('Summary Schedule'!R4="ESA",'Sch1ee-Ann Cost Sav &amp; Pymts'!T33,"")</f>
        <v/>
      </c>
      <c r="AR22" s="171" t="str">
        <f>IF('Summary Schedule'!C4="ESA",SUM(D22:AB22),"")</f>
        <v/>
      </c>
    </row>
    <row r="23" spans="1:44" ht="65.25" customHeight="1" thickBot="1">
      <c r="A23" s="37" t="s">
        <v>32</v>
      </c>
      <c r="B23" s="38" t="s">
        <v>150</v>
      </c>
      <c r="C23" s="170">
        <f>IF('Summary Schedule'!C4="UESC", 'Sch1u-Ann Cost Sav &amp; Pymts'!C6, IF('Summary Schedule'!C4="ESA", 'Sch1ee-Ann Cost Sav &amp; Pymts'!D6,'Sch1-Ann Cost Sav &amp; Pymts'!D6))</f>
        <v>5894259</v>
      </c>
      <c r="D23" s="252">
        <f ca="1">IF(D9&gt;0,D21+D9,0)</f>
        <v>1485411</v>
      </c>
      <c r="E23" s="252">
        <f t="shared" ref="E23:AQ23" ca="1" si="10">IF(E9&gt;0,E21+E9,0)</f>
        <v>1515189</v>
      </c>
      <c r="F23" s="252">
        <f t="shared" ca="1" si="10"/>
        <v>1545710</v>
      </c>
      <c r="G23" s="252">
        <f t="shared" ca="1" si="10"/>
        <v>1576996</v>
      </c>
      <c r="H23" s="252">
        <f t="shared" ca="1" si="10"/>
        <v>1609068</v>
      </c>
      <c r="I23" s="252">
        <f t="shared" ca="1" si="10"/>
        <v>1641951</v>
      </c>
      <c r="J23" s="252">
        <f t="shared" ca="1" si="10"/>
        <v>1675669</v>
      </c>
      <c r="K23" s="252">
        <f t="shared" ca="1" si="10"/>
        <v>1710246</v>
      </c>
      <c r="L23" s="252">
        <f t="shared" ca="1" si="10"/>
        <v>1745709</v>
      </c>
      <c r="M23" s="252">
        <f t="shared" ca="1" si="10"/>
        <v>1782085</v>
      </c>
      <c r="N23" s="252">
        <f t="shared" ca="1" si="10"/>
        <v>1819401</v>
      </c>
      <c r="O23" s="252">
        <f t="shared" ca="1" si="10"/>
        <v>1857686</v>
      </c>
      <c r="P23" s="252">
        <f t="shared" ca="1" si="10"/>
        <v>1896968</v>
      </c>
      <c r="Q23" s="252">
        <f t="shared" ca="1" si="10"/>
        <v>1937280</v>
      </c>
      <c r="R23" s="252">
        <f t="shared" ca="1" si="10"/>
        <v>1978652</v>
      </c>
      <c r="S23" s="252">
        <f t="shared" ca="1" si="10"/>
        <v>2021116</v>
      </c>
      <c r="T23" s="252">
        <f t="shared" ca="1" si="10"/>
        <v>2064707</v>
      </c>
      <c r="U23" s="252">
        <f t="shared" ca="1" si="10"/>
        <v>1261945</v>
      </c>
      <c r="V23" s="252">
        <f t="shared" ca="1" si="10"/>
        <v>0</v>
      </c>
      <c r="W23" s="252">
        <f t="shared" ca="1" si="10"/>
        <v>0</v>
      </c>
      <c r="X23" s="252">
        <f t="shared" ca="1" si="10"/>
        <v>0</v>
      </c>
      <c r="Y23" s="252">
        <f t="shared" ca="1" si="10"/>
        <v>0</v>
      </c>
      <c r="Z23" s="252">
        <f t="shared" ca="1" si="10"/>
        <v>0</v>
      </c>
      <c r="AA23" s="252">
        <f t="shared" ca="1" si="10"/>
        <v>0</v>
      </c>
      <c r="AB23" s="252">
        <f t="shared" ca="1" si="10"/>
        <v>0</v>
      </c>
      <c r="AC23" s="252">
        <f t="shared" ca="1" si="10"/>
        <v>0</v>
      </c>
      <c r="AD23" s="252">
        <f t="shared" ca="1" si="10"/>
        <v>0</v>
      </c>
      <c r="AE23" s="252">
        <f ca="1">IF(AE9&gt;0,AE21+AE9,0)</f>
        <v>0</v>
      </c>
      <c r="AF23" s="252">
        <f t="shared" ca="1" si="10"/>
        <v>0</v>
      </c>
      <c r="AG23" s="252">
        <f ca="1">IF(AG9&gt;0,AG21+AG9,0)</f>
        <v>0</v>
      </c>
      <c r="AH23" s="252">
        <f t="shared" ca="1" si="10"/>
        <v>0</v>
      </c>
      <c r="AI23" s="252">
        <f t="shared" ca="1" si="10"/>
        <v>0</v>
      </c>
      <c r="AJ23" s="252">
        <f t="shared" ca="1" si="10"/>
        <v>0</v>
      </c>
      <c r="AK23" s="252">
        <f t="shared" ca="1" si="10"/>
        <v>0</v>
      </c>
      <c r="AL23" s="252">
        <f t="shared" ca="1" si="10"/>
        <v>0</v>
      </c>
      <c r="AM23" s="252">
        <f t="shared" ca="1" si="10"/>
        <v>0</v>
      </c>
      <c r="AN23" s="252">
        <f t="shared" ca="1" si="10"/>
        <v>0</v>
      </c>
      <c r="AO23" s="252">
        <f t="shared" ca="1" si="10"/>
        <v>0</v>
      </c>
      <c r="AP23" s="252">
        <f t="shared" ca="1" si="10"/>
        <v>0</v>
      </c>
      <c r="AQ23" s="252">
        <f t="shared" ca="1" si="10"/>
        <v>0</v>
      </c>
      <c r="AR23" s="467">
        <f t="shared" ca="1" si="0"/>
        <v>31125789</v>
      </c>
    </row>
    <row r="24" spans="1:44" ht="17" thickBot="1">
      <c r="A24" s="39"/>
      <c r="B24" s="40"/>
      <c r="C24" s="40"/>
      <c r="D24" s="253"/>
      <c r="E24" s="253"/>
      <c r="F24" s="253"/>
      <c r="G24" s="253"/>
      <c r="H24" s="254"/>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5"/>
    </row>
    <row r="25" spans="1:44">
      <c r="A25" s="693" t="s">
        <v>62</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5"/>
    </row>
    <row r="26" spans="1:44">
      <c r="A26" s="701" t="s">
        <v>286</v>
      </c>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3"/>
    </row>
    <row r="27" spans="1:44">
      <c r="A27" s="701" t="s">
        <v>282</v>
      </c>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3"/>
    </row>
    <row r="28" spans="1:44" ht="17" thickBot="1">
      <c r="A28" s="704" t="s">
        <v>287</v>
      </c>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05"/>
      <c r="AO28" s="705"/>
      <c r="AP28" s="705"/>
      <c r="AQ28" s="705"/>
      <c r="AR28" s="706"/>
    </row>
    <row r="29" spans="1:44" ht="17" thickBot="1">
      <c r="A29" s="704" t="s">
        <v>406</v>
      </c>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6"/>
    </row>
    <row r="30" spans="1:44">
      <c r="A30" s="693" t="s">
        <v>173</v>
      </c>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5"/>
    </row>
    <row r="31" spans="1:44" ht="103" customHeight="1" thickBot="1">
      <c r="A31" s="696"/>
      <c r="B31" s="697"/>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8"/>
    </row>
    <row r="32" spans="1:44">
      <c r="A32" s="41" t="str">
        <f>'Sch2a-Imp Price by ECM'!A271</f>
        <v>4.1.5.c</v>
      </c>
    </row>
    <row r="33" spans="1:28">
      <c r="A33" s="41" t="str">
        <f>'Sch2a-Imp Price by ECM'!A272</f>
        <v>04232024</v>
      </c>
      <c r="D33" s="499">
        <f>D15</f>
        <v>36792</v>
      </c>
      <c r="E33" s="500">
        <f>D33*1.023</f>
        <v>37638.215999999993</v>
      </c>
      <c r="F33" s="500">
        <f t="shared" ref="F33:AB33" si="11">E33*1.023</f>
        <v>38503.894967999986</v>
      </c>
      <c r="G33" s="500">
        <f t="shared" si="11"/>
        <v>39389.484552263981</v>
      </c>
      <c r="H33" s="500">
        <f t="shared" si="11"/>
        <v>40295.442696966049</v>
      </c>
      <c r="I33" s="500">
        <f t="shared" si="11"/>
        <v>41222.237878996268</v>
      </c>
      <c r="J33" s="500">
        <f t="shared" si="11"/>
        <v>42170.349350213175</v>
      </c>
      <c r="K33" s="500">
        <f t="shared" si="11"/>
        <v>43140.267385268075</v>
      </c>
      <c r="L33" s="500">
        <f t="shared" si="11"/>
        <v>44132.493535129237</v>
      </c>
      <c r="M33" s="500">
        <f t="shared" si="11"/>
        <v>45147.540886437208</v>
      </c>
      <c r="N33" s="500">
        <f t="shared" si="11"/>
        <v>46185.934326825256</v>
      </c>
      <c r="O33" s="500">
        <f t="shared" si="11"/>
        <v>47248.210816342231</v>
      </c>
      <c r="P33" s="500">
        <f t="shared" si="11"/>
        <v>48334.919665118097</v>
      </c>
      <c r="Q33" s="500">
        <f t="shared" si="11"/>
        <v>49446.62281741581</v>
      </c>
      <c r="R33" s="500">
        <f t="shared" si="11"/>
        <v>50583.895142216366</v>
      </c>
      <c r="S33" s="500">
        <f t="shared" si="11"/>
        <v>51747.324730487337</v>
      </c>
      <c r="T33" s="500">
        <f t="shared" si="11"/>
        <v>52937.513199288544</v>
      </c>
      <c r="U33" s="500">
        <f t="shared" si="11"/>
        <v>54155.076002872178</v>
      </c>
      <c r="V33" s="500">
        <f t="shared" si="11"/>
        <v>55400.642750938234</v>
      </c>
      <c r="W33" s="500">
        <f t="shared" si="11"/>
        <v>56674.857534209805</v>
      </c>
      <c r="X33" s="500">
        <f t="shared" si="11"/>
        <v>57978.379257496628</v>
      </c>
      <c r="Y33" s="500">
        <f t="shared" si="11"/>
        <v>59311.881980419043</v>
      </c>
      <c r="Z33" s="500">
        <f t="shared" si="11"/>
        <v>60676.055265968673</v>
      </c>
      <c r="AA33" s="500">
        <f t="shared" si="11"/>
        <v>62071.60453708595</v>
      </c>
      <c r="AB33" s="500">
        <f t="shared" si="11"/>
        <v>63499.251441438922</v>
      </c>
    </row>
    <row r="49" spans="3:3">
      <c r="C49" s="190"/>
    </row>
  </sheetData>
  <mergeCells count="11">
    <mergeCell ref="A30:AR30"/>
    <mergeCell ref="A31:AR31"/>
    <mergeCell ref="A1:AR1"/>
    <mergeCell ref="A2:AR2"/>
    <mergeCell ref="A26:AR26"/>
    <mergeCell ref="A29:AR29"/>
    <mergeCell ref="A25:AR25"/>
    <mergeCell ref="A5:A9"/>
    <mergeCell ref="A11:A21"/>
    <mergeCell ref="A27:AR27"/>
    <mergeCell ref="A28:AR28"/>
  </mergeCells>
  <dataValidations count="7">
    <dataValidation type="whole" operator="greaterThanOrEqual" allowBlank="1" showInputMessage="1" showErrorMessage="1" error="Please enter a value greater than or equal to zero." sqref="C8 C11:C21 AR5:AR9 C5 AR23 D20:AR21 D11:AR18" xr:uid="{00000000-0002-0000-0900-000000000000}">
      <formula1>0</formula1>
    </dataValidation>
    <dataValidation operator="greaterThanOrEqual" allowBlank="1" showInputMessage="1" showErrorMessage="1" error="Please enter a value greater than or equal to zero." sqref="C9:AQ9 C6:C7 D8:AQ8 AR22 D5:AQ5" xr:uid="{00000000-0002-0000-0900-000002000000}"/>
    <dataValidation type="list" allowBlank="1" showInputMessage="1" showErrorMessage="1" sqref="B16" xr:uid="{00000000-0002-0000-0900-000003000000}">
      <formula1>"Other PP Expense 1: Permits and Licenses, Other PP Expense 1: Insurance, Other PP Expense 1: Property Taxes, Other PP Expense 1: Other"</formula1>
    </dataValidation>
    <dataValidation type="list" allowBlank="1" showInputMessage="1" showErrorMessage="1" sqref="B17" xr:uid="{00000000-0002-0000-0900-000004000000}">
      <formula1>"Other PP Expense 2: Permits and Licenses, Other PP Expense 2: Insurance, Other PP Expense 2: Property Taxes, Other PP Expense 2: Other"</formula1>
    </dataValidation>
    <dataValidation type="decimal" allowBlank="1" showInputMessage="1" showErrorMessage="1" error="Please enter a percentage between 0 and 100%." sqref="D19:AQ19" xr:uid="{00000000-0002-0000-0900-000005000000}">
      <formula1>0</formula1>
      <formula2>1</formula2>
    </dataValidation>
    <dataValidation type="whole" allowBlank="1" showInputMessage="1" showErrorMessage="1" sqref="D6:AQ7" xr:uid="{00000000-0002-0000-0900-000006000000}">
      <formula1>-1000000000</formula1>
      <formula2>1000000000</formula2>
    </dataValidation>
    <dataValidation operator="greaterThanOrEqual" allowBlank="1" showInputMessage="1" showErrorMessage="1" error="Please enter a number greater than or equal to zero." sqref="C23:AQ23" xr:uid="{00000000-0002-0000-0900-000007000000}"/>
  </dataValidations>
  <pageMargins left="0.75" right="0.75" top="1" bottom="1" header="0.5" footer="0.5"/>
  <pageSetup scale="24"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 id="{C9A0CD48-854D-C146-8AE0-FE040BBD9014}">
            <xm:f>'Summary Schedule'!$C$4&lt;&gt;"ESA"</xm:f>
            <x14:dxf>
              <fill>
                <patternFill patternType="mediumGray">
                  <fgColor auto="1"/>
                  <bgColor auto="1"/>
                </patternFill>
              </fill>
            </x14:dxf>
          </x14:cfRule>
          <xm:sqref>A22:AR22</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V498"/>
  <sheetViews>
    <sheetView showGridLines="0" zoomScale="96" zoomScaleNormal="96" zoomScalePageLayoutView="150" workbookViewId="0">
      <pane ySplit="16" topLeftCell="A455" activePane="bottomLeft" state="frozenSplit"/>
      <selection activeCell="L42" sqref="L42"/>
      <selection pane="bottomLeft" activeCell="G4" sqref="G4"/>
    </sheetView>
  </sheetViews>
  <sheetFormatPr baseColWidth="10" defaultColWidth="8.83203125" defaultRowHeight="13"/>
  <cols>
    <col min="1" max="1" width="6.33203125" style="94" customWidth="1"/>
    <col min="2" max="2" width="12.5" style="94" customWidth="1"/>
    <col min="3" max="3" width="16.5" style="94" customWidth="1"/>
    <col min="4" max="4" width="15.5" style="94" customWidth="1"/>
    <col min="5" max="5" width="17" style="94" customWidth="1"/>
    <col min="6" max="6" width="16" style="94" customWidth="1"/>
    <col min="7" max="7" width="15.1640625" style="94" customWidth="1"/>
    <col min="8" max="8" width="21" style="94" customWidth="1"/>
    <col min="9" max="9" width="15" style="88" customWidth="1"/>
    <col min="10" max="10" width="8.33203125" style="1" customWidth="1"/>
    <col min="11" max="12" width="17.33203125" style="1" customWidth="1"/>
    <col min="13" max="13" width="14.33203125" style="1" customWidth="1"/>
    <col min="14" max="14" width="17.33203125" style="1" customWidth="1"/>
    <col min="15" max="15" width="16.6640625" style="1" customWidth="1"/>
    <col min="16" max="16" width="8.83203125" style="1"/>
    <col min="17" max="17" width="10.5" style="1" bestFit="1" customWidth="1"/>
    <col min="18" max="255" width="8.83203125" style="1"/>
    <col min="256" max="256" width="4.5" style="1" customWidth="1"/>
    <col min="257" max="257" width="12.5" style="1" customWidth="1"/>
    <col min="258" max="258" width="11.83203125" style="1" customWidth="1"/>
    <col min="259" max="259" width="12.83203125" style="1" customWidth="1"/>
    <col min="260" max="260" width="11" style="1" customWidth="1"/>
    <col min="261" max="261" width="11.5" style="1" customWidth="1"/>
    <col min="262" max="263" width="11.33203125" style="1" customWidth="1"/>
    <col min="264" max="264" width="13.5" style="1" customWidth="1"/>
    <col min="265" max="511" width="8.83203125" style="1"/>
    <col min="512" max="512" width="4.5" style="1" customWidth="1"/>
    <col min="513" max="513" width="12.5" style="1" customWidth="1"/>
    <col min="514" max="514" width="11.83203125" style="1" customWidth="1"/>
    <col min="515" max="515" width="12.83203125" style="1" customWidth="1"/>
    <col min="516" max="516" width="11" style="1" customWidth="1"/>
    <col min="517" max="517" width="11.5" style="1" customWidth="1"/>
    <col min="518" max="519" width="11.33203125" style="1" customWidth="1"/>
    <col min="520" max="520" width="13.5" style="1" customWidth="1"/>
    <col min="521" max="767" width="8.83203125" style="1"/>
    <col min="768" max="768" width="4.5" style="1" customWidth="1"/>
    <col min="769" max="769" width="12.5" style="1" customWidth="1"/>
    <col min="770" max="770" width="11.83203125" style="1" customWidth="1"/>
    <col min="771" max="771" width="12.83203125" style="1" customWidth="1"/>
    <col min="772" max="772" width="11" style="1" customWidth="1"/>
    <col min="773" max="773" width="11.5" style="1" customWidth="1"/>
    <col min="774" max="775" width="11.33203125" style="1" customWidth="1"/>
    <col min="776" max="776" width="13.5" style="1" customWidth="1"/>
    <col min="777" max="1023" width="8.83203125" style="1"/>
    <col min="1024" max="1024" width="4.5" style="1" customWidth="1"/>
    <col min="1025" max="1025" width="12.5" style="1" customWidth="1"/>
    <col min="1026" max="1026" width="11.83203125" style="1" customWidth="1"/>
    <col min="1027" max="1027" width="12.83203125" style="1" customWidth="1"/>
    <col min="1028" max="1028" width="11" style="1" customWidth="1"/>
    <col min="1029" max="1029" width="11.5" style="1" customWidth="1"/>
    <col min="1030" max="1031" width="11.33203125" style="1" customWidth="1"/>
    <col min="1032" max="1032" width="13.5" style="1" customWidth="1"/>
    <col min="1033" max="1279" width="8.83203125" style="1"/>
    <col min="1280" max="1280" width="4.5" style="1" customWidth="1"/>
    <col min="1281" max="1281" width="12.5" style="1" customWidth="1"/>
    <col min="1282" max="1282" width="11.83203125" style="1" customWidth="1"/>
    <col min="1283" max="1283" width="12.83203125" style="1" customWidth="1"/>
    <col min="1284" max="1284" width="11" style="1" customWidth="1"/>
    <col min="1285" max="1285" width="11.5" style="1" customWidth="1"/>
    <col min="1286" max="1287" width="11.33203125" style="1" customWidth="1"/>
    <col min="1288" max="1288" width="13.5" style="1" customWidth="1"/>
    <col min="1289" max="1535" width="8.83203125" style="1"/>
    <col min="1536" max="1536" width="4.5" style="1" customWidth="1"/>
    <col min="1537" max="1537" width="12.5" style="1" customWidth="1"/>
    <col min="1538" max="1538" width="11.83203125" style="1" customWidth="1"/>
    <col min="1539" max="1539" width="12.83203125" style="1" customWidth="1"/>
    <col min="1540" max="1540" width="11" style="1" customWidth="1"/>
    <col min="1541" max="1541" width="11.5" style="1" customWidth="1"/>
    <col min="1542" max="1543" width="11.33203125" style="1" customWidth="1"/>
    <col min="1544" max="1544" width="13.5" style="1" customWidth="1"/>
    <col min="1545" max="1791" width="8.83203125" style="1"/>
    <col min="1792" max="1792" width="4.5" style="1" customWidth="1"/>
    <col min="1793" max="1793" width="12.5" style="1" customWidth="1"/>
    <col min="1794" max="1794" width="11.83203125" style="1" customWidth="1"/>
    <col min="1795" max="1795" width="12.83203125" style="1" customWidth="1"/>
    <col min="1796" max="1796" width="11" style="1" customWidth="1"/>
    <col min="1797" max="1797" width="11.5" style="1" customWidth="1"/>
    <col min="1798" max="1799" width="11.33203125" style="1" customWidth="1"/>
    <col min="1800" max="1800" width="13.5" style="1" customWidth="1"/>
    <col min="1801" max="2047" width="8.83203125" style="1"/>
    <col min="2048" max="2048" width="4.5" style="1" customWidth="1"/>
    <col min="2049" max="2049" width="12.5" style="1" customWidth="1"/>
    <col min="2050" max="2050" width="11.83203125" style="1" customWidth="1"/>
    <col min="2051" max="2051" width="12.83203125" style="1" customWidth="1"/>
    <col min="2052" max="2052" width="11" style="1" customWidth="1"/>
    <col min="2053" max="2053" width="11.5" style="1" customWidth="1"/>
    <col min="2054" max="2055" width="11.33203125" style="1" customWidth="1"/>
    <col min="2056" max="2056" width="13.5" style="1" customWidth="1"/>
    <col min="2057" max="2303" width="8.83203125" style="1"/>
    <col min="2304" max="2304" width="4.5" style="1" customWidth="1"/>
    <col min="2305" max="2305" width="12.5" style="1" customWidth="1"/>
    <col min="2306" max="2306" width="11.83203125" style="1" customWidth="1"/>
    <col min="2307" max="2307" width="12.83203125" style="1" customWidth="1"/>
    <col min="2308" max="2308" width="11" style="1" customWidth="1"/>
    <col min="2309" max="2309" width="11.5" style="1" customWidth="1"/>
    <col min="2310" max="2311" width="11.33203125" style="1" customWidth="1"/>
    <col min="2312" max="2312" width="13.5" style="1" customWidth="1"/>
    <col min="2313" max="2559" width="8.83203125" style="1"/>
    <col min="2560" max="2560" width="4.5" style="1" customWidth="1"/>
    <col min="2561" max="2561" width="12.5" style="1" customWidth="1"/>
    <col min="2562" max="2562" width="11.83203125" style="1" customWidth="1"/>
    <col min="2563" max="2563" width="12.83203125" style="1" customWidth="1"/>
    <col min="2564" max="2564" width="11" style="1" customWidth="1"/>
    <col min="2565" max="2565" width="11.5" style="1" customWidth="1"/>
    <col min="2566" max="2567" width="11.33203125" style="1" customWidth="1"/>
    <col min="2568" max="2568" width="13.5" style="1" customWidth="1"/>
    <col min="2569" max="2815" width="8.83203125" style="1"/>
    <col min="2816" max="2816" width="4.5" style="1" customWidth="1"/>
    <col min="2817" max="2817" width="12.5" style="1" customWidth="1"/>
    <col min="2818" max="2818" width="11.83203125" style="1" customWidth="1"/>
    <col min="2819" max="2819" width="12.83203125" style="1" customWidth="1"/>
    <col min="2820" max="2820" width="11" style="1" customWidth="1"/>
    <col min="2821" max="2821" width="11.5" style="1" customWidth="1"/>
    <col min="2822" max="2823" width="11.33203125" style="1" customWidth="1"/>
    <col min="2824" max="2824" width="13.5" style="1" customWidth="1"/>
    <col min="2825" max="3071" width="8.83203125" style="1"/>
    <col min="3072" max="3072" width="4.5" style="1" customWidth="1"/>
    <col min="3073" max="3073" width="12.5" style="1" customWidth="1"/>
    <col min="3074" max="3074" width="11.83203125" style="1" customWidth="1"/>
    <col min="3075" max="3075" width="12.83203125" style="1" customWidth="1"/>
    <col min="3076" max="3076" width="11" style="1" customWidth="1"/>
    <col min="3077" max="3077" width="11.5" style="1" customWidth="1"/>
    <col min="3078" max="3079" width="11.33203125" style="1" customWidth="1"/>
    <col min="3080" max="3080" width="13.5" style="1" customWidth="1"/>
    <col min="3081" max="3327" width="8.83203125" style="1"/>
    <col min="3328" max="3328" width="4.5" style="1" customWidth="1"/>
    <col min="3329" max="3329" width="12.5" style="1" customWidth="1"/>
    <col min="3330" max="3330" width="11.83203125" style="1" customWidth="1"/>
    <col min="3331" max="3331" width="12.83203125" style="1" customWidth="1"/>
    <col min="3332" max="3332" width="11" style="1" customWidth="1"/>
    <col min="3333" max="3333" width="11.5" style="1" customWidth="1"/>
    <col min="3334" max="3335" width="11.33203125" style="1" customWidth="1"/>
    <col min="3336" max="3336" width="13.5" style="1" customWidth="1"/>
    <col min="3337" max="3583" width="8.83203125" style="1"/>
    <col min="3584" max="3584" width="4.5" style="1" customWidth="1"/>
    <col min="3585" max="3585" width="12.5" style="1" customWidth="1"/>
    <col min="3586" max="3586" width="11.83203125" style="1" customWidth="1"/>
    <col min="3587" max="3587" width="12.83203125" style="1" customWidth="1"/>
    <col min="3588" max="3588" width="11" style="1" customWidth="1"/>
    <col min="3589" max="3589" width="11.5" style="1" customWidth="1"/>
    <col min="3590" max="3591" width="11.33203125" style="1" customWidth="1"/>
    <col min="3592" max="3592" width="13.5" style="1" customWidth="1"/>
    <col min="3593" max="3839" width="8.83203125" style="1"/>
    <col min="3840" max="3840" width="4.5" style="1" customWidth="1"/>
    <col min="3841" max="3841" width="12.5" style="1" customWidth="1"/>
    <col min="3842" max="3842" width="11.83203125" style="1" customWidth="1"/>
    <col min="3843" max="3843" width="12.83203125" style="1" customWidth="1"/>
    <col min="3844" max="3844" width="11" style="1" customWidth="1"/>
    <col min="3845" max="3845" width="11.5" style="1" customWidth="1"/>
    <col min="3846" max="3847" width="11.33203125" style="1" customWidth="1"/>
    <col min="3848" max="3848" width="13.5" style="1" customWidth="1"/>
    <col min="3849" max="4095" width="8.83203125" style="1"/>
    <col min="4096" max="4096" width="4.5" style="1" customWidth="1"/>
    <col min="4097" max="4097" width="12.5" style="1" customWidth="1"/>
    <col min="4098" max="4098" width="11.83203125" style="1" customWidth="1"/>
    <col min="4099" max="4099" width="12.83203125" style="1" customWidth="1"/>
    <col min="4100" max="4100" width="11" style="1" customWidth="1"/>
    <col min="4101" max="4101" width="11.5" style="1" customWidth="1"/>
    <col min="4102" max="4103" width="11.33203125" style="1" customWidth="1"/>
    <col min="4104" max="4104" width="13.5" style="1" customWidth="1"/>
    <col min="4105" max="4351" width="8.83203125" style="1"/>
    <col min="4352" max="4352" width="4.5" style="1" customWidth="1"/>
    <col min="4353" max="4353" width="12.5" style="1" customWidth="1"/>
    <col min="4354" max="4354" width="11.83203125" style="1" customWidth="1"/>
    <col min="4355" max="4355" width="12.83203125" style="1" customWidth="1"/>
    <col min="4356" max="4356" width="11" style="1" customWidth="1"/>
    <col min="4357" max="4357" width="11.5" style="1" customWidth="1"/>
    <col min="4358" max="4359" width="11.33203125" style="1" customWidth="1"/>
    <col min="4360" max="4360" width="13.5" style="1" customWidth="1"/>
    <col min="4361" max="4607" width="8.83203125" style="1"/>
    <col min="4608" max="4608" width="4.5" style="1" customWidth="1"/>
    <col min="4609" max="4609" width="12.5" style="1" customWidth="1"/>
    <col min="4610" max="4610" width="11.83203125" style="1" customWidth="1"/>
    <col min="4611" max="4611" width="12.83203125" style="1" customWidth="1"/>
    <col min="4612" max="4612" width="11" style="1" customWidth="1"/>
    <col min="4613" max="4613" width="11.5" style="1" customWidth="1"/>
    <col min="4614" max="4615" width="11.33203125" style="1" customWidth="1"/>
    <col min="4616" max="4616" width="13.5" style="1" customWidth="1"/>
    <col min="4617" max="4863" width="8.83203125" style="1"/>
    <col min="4864" max="4864" width="4.5" style="1" customWidth="1"/>
    <col min="4865" max="4865" width="12.5" style="1" customWidth="1"/>
    <col min="4866" max="4866" width="11.83203125" style="1" customWidth="1"/>
    <col min="4867" max="4867" width="12.83203125" style="1" customWidth="1"/>
    <col min="4868" max="4868" width="11" style="1" customWidth="1"/>
    <col min="4869" max="4869" width="11.5" style="1" customWidth="1"/>
    <col min="4870" max="4871" width="11.33203125" style="1" customWidth="1"/>
    <col min="4872" max="4872" width="13.5" style="1" customWidth="1"/>
    <col min="4873" max="5119" width="8.83203125" style="1"/>
    <col min="5120" max="5120" width="4.5" style="1" customWidth="1"/>
    <col min="5121" max="5121" width="12.5" style="1" customWidth="1"/>
    <col min="5122" max="5122" width="11.83203125" style="1" customWidth="1"/>
    <col min="5123" max="5123" width="12.83203125" style="1" customWidth="1"/>
    <col min="5124" max="5124" width="11" style="1" customWidth="1"/>
    <col min="5125" max="5125" width="11.5" style="1" customWidth="1"/>
    <col min="5126" max="5127" width="11.33203125" style="1" customWidth="1"/>
    <col min="5128" max="5128" width="13.5" style="1" customWidth="1"/>
    <col min="5129" max="5375" width="8.83203125" style="1"/>
    <col min="5376" max="5376" width="4.5" style="1" customWidth="1"/>
    <col min="5377" max="5377" width="12.5" style="1" customWidth="1"/>
    <col min="5378" max="5378" width="11.83203125" style="1" customWidth="1"/>
    <col min="5379" max="5379" width="12.83203125" style="1" customWidth="1"/>
    <col min="5380" max="5380" width="11" style="1" customWidth="1"/>
    <col min="5381" max="5381" width="11.5" style="1" customWidth="1"/>
    <col min="5382" max="5383" width="11.33203125" style="1" customWidth="1"/>
    <col min="5384" max="5384" width="13.5" style="1" customWidth="1"/>
    <col min="5385" max="5631" width="8.83203125" style="1"/>
    <col min="5632" max="5632" width="4.5" style="1" customWidth="1"/>
    <col min="5633" max="5633" width="12.5" style="1" customWidth="1"/>
    <col min="5634" max="5634" width="11.83203125" style="1" customWidth="1"/>
    <col min="5635" max="5635" width="12.83203125" style="1" customWidth="1"/>
    <col min="5636" max="5636" width="11" style="1" customWidth="1"/>
    <col min="5637" max="5637" width="11.5" style="1" customWidth="1"/>
    <col min="5638" max="5639" width="11.33203125" style="1" customWidth="1"/>
    <col min="5640" max="5640" width="13.5" style="1" customWidth="1"/>
    <col min="5641" max="5887" width="8.83203125" style="1"/>
    <col min="5888" max="5888" width="4.5" style="1" customWidth="1"/>
    <col min="5889" max="5889" width="12.5" style="1" customWidth="1"/>
    <col min="5890" max="5890" width="11.83203125" style="1" customWidth="1"/>
    <col min="5891" max="5891" width="12.83203125" style="1" customWidth="1"/>
    <col min="5892" max="5892" width="11" style="1" customWidth="1"/>
    <col min="5893" max="5893" width="11.5" style="1" customWidth="1"/>
    <col min="5894" max="5895" width="11.33203125" style="1" customWidth="1"/>
    <col min="5896" max="5896" width="13.5" style="1" customWidth="1"/>
    <col min="5897" max="6143" width="8.83203125" style="1"/>
    <col min="6144" max="6144" width="4.5" style="1" customWidth="1"/>
    <col min="6145" max="6145" width="12.5" style="1" customWidth="1"/>
    <col min="6146" max="6146" width="11.83203125" style="1" customWidth="1"/>
    <col min="6147" max="6147" width="12.83203125" style="1" customWidth="1"/>
    <col min="6148" max="6148" width="11" style="1" customWidth="1"/>
    <col min="6149" max="6149" width="11.5" style="1" customWidth="1"/>
    <col min="6150" max="6151" width="11.33203125" style="1" customWidth="1"/>
    <col min="6152" max="6152" width="13.5" style="1" customWidth="1"/>
    <col min="6153" max="6399" width="8.83203125" style="1"/>
    <col min="6400" max="6400" width="4.5" style="1" customWidth="1"/>
    <col min="6401" max="6401" width="12.5" style="1" customWidth="1"/>
    <col min="6402" max="6402" width="11.83203125" style="1" customWidth="1"/>
    <col min="6403" max="6403" width="12.83203125" style="1" customWidth="1"/>
    <col min="6404" max="6404" width="11" style="1" customWidth="1"/>
    <col min="6405" max="6405" width="11.5" style="1" customWidth="1"/>
    <col min="6406" max="6407" width="11.33203125" style="1" customWidth="1"/>
    <col min="6408" max="6408" width="13.5" style="1" customWidth="1"/>
    <col min="6409" max="6655" width="8.83203125" style="1"/>
    <col min="6656" max="6656" width="4.5" style="1" customWidth="1"/>
    <col min="6657" max="6657" width="12.5" style="1" customWidth="1"/>
    <col min="6658" max="6658" width="11.83203125" style="1" customWidth="1"/>
    <col min="6659" max="6659" width="12.83203125" style="1" customWidth="1"/>
    <col min="6660" max="6660" width="11" style="1" customWidth="1"/>
    <col min="6661" max="6661" width="11.5" style="1" customWidth="1"/>
    <col min="6662" max="6663" width="11.33203125" style="1" customWidth="1"/>
    <col min="6664" max="6664" width="13.5" style="1" customWidth="1"/>
    <col min="6665" max="6911" width="8.83203125" style="1"/>
    <col min="6912" max="6912" width="4.5" style="1" customWidth="1"/>
    <col min="6913" max="6913" width="12.5" style="1" customWidth="1"/>
    <col min="6914" max="6914" width="11.83203125" style="1" customWidth="1"/>
    <col min="6915" max="6915" width="12.83203125" style="1" customWidth="1"/>
    <col min="6916" max="6916" width="11" style="1" customWidth="1"/>
    <col min="6917" max="6917" width="11.5" style="1" customWidth="1"/>
    <col min="6918" max="6919" width="11.33203125" style="1" customWidth="1"/>
    <col min="6920" max="6920" width="13.5" style="1" customWidth="1"/>
    <col min="6921" max="7167" width="8.83203125" style="1"/>
    <col min="7168" max="7168" width="4.5" style="1" customWidth="1"/>
    <col min="7169" max="7169" width="12.5" style="1" customWidth="1"/>
    <col min="7170" max="7170" width="11.83203125" style="1" customWidth="1"/>
    <col min="7171" max="7171" width="12.83203125" style="1" customWidth="1"/>
    <col min="7172" max="7172" width="11" style="1" customWidth="1"/>
    <col min="7173" max="7173" width="11.5" style="1" customWidth="1"/>
    <col min="7174" max="7175" width="11.33203125" style="1" customWidth="1"/>
    <col min="7176" max="7176" width="13.5" style="1" customWidth="1"/>
    <col min="7177" max="7423" width="8.83203125" style="1"/>
    <col min="7424" max="7424" width="4.5" style="1" customWidth="1"/>
    <col min="7425" max="7425" width="12.5" style="1" customWidth="1"/>
    <col min="7426" max="7426" width="11.83203125" style="1" customWidth="1"/>
    <col min="7427" max="7427" width="12.83203125" style="1" customWidth="1"/>
    <col min="7428" max="7428" width="11" style="1" customWidth="1"/>
    <col min="7429" max="7429" width="11.5" style="1" customWidth="1"/>
    <col min="7430" max="7431" width="11.33203125" style="1" customWidth="1"/>
    <col min="7432" max="7432" width="13.5" style="1" customWidth="1"/>
    <col min="7433" max="7679" width="8.83203125" style="1"/>
    <col min="7680" max="7680" width="4.5" style="1" customWidth="1"/>
    <col min="7681" max="7681" width="12.5" style="1" customWidth="1"/>
    <col min="7682" max="7682" width="11.83203125" style="1" customWidth="1"/>
    <col min="7683" max="7683" width="12.83203125" style="1" customWidth="1"/>
    <col min="7684" max="7684" width="11" style="1" customWidth="1"/>
    <col min="7685" max="7685" width="11.5" style="1" customWidth="1"/>
    <col min="7686" max="7687" width="11.33203125" style="1" customWidth="1"/>
    <col min="7688" max="7688" width="13.5" style="1" customWidth="1"/>
    <col min="7689" max="7935" width="8.83203125" style="1"/>
    <col min="7936" max="7936" width="4.5" style="1" customWidth="1"/>
    <col min="7937" max="7937" width="12.5" style="1" customWidth="1"/>
    <col min="7938" max="7938" width="11.83203125" style="1" customWidth="1"/>
    <col min="7939" max="7939" width="12.83203125" style="1" customWidth="1"/>
    <col min="7940" max="7940" width="11" style="1" customWidth="1"/>
    <col min="7941" max="7941" width="11.5" style="1" customWidth="1"/>
    <col min="7942" max="7943" width="11.33203125" style="1" customWidth="1"/>
    <col min="7944" max="7944" width="13.5" style="1" customWidth="1"/>
    <col min="7945" max="8191" width="8.83203125" style="1"/>
    <col min="8192" max="8192" width="4.5" style="1" customWidth="1"/>
    <col min="8193" max="8193" width="12.5" style="1" customWidth="1"/>
    <col min="8194" max="8194" width="11.83203125" style="1" customWidth="1"/>
    <col min="8195" max="8195" width="12.83203125" style="1" customWidth="1"/>
    <col min="8196" max="8196" width="11" style="1" customWidth="1"/>
    <col min="8197" max="8197" width="11.5" style="1" customWidth="1"/>
    <col min="8198" max="8199" width="11.33203125" style="1" customWidth="1"/>
    <col min="8200" max="8200" width="13.5" style="1" customWidth="1"/>
    <col min="8201" max="8447" width="8.83203125" style="1"/>
    <col min="8448" max="8448" width="4.5" style="1" customWidth="1"/>
    <col min="8449" max="8449" width="12.5" style="1" customWidth="1"/>
    <col min="8450" max="8450" width="11.83203125" style="1" customWidth="1"/>
    <col min="8451" max="8451" width="12.83203125" style="1" customWidth="1"/>
    <col min="8452" max="8452" width="11" style="1" customWidth="1"/>
    <col min="8453" max="8453" width="11.5" style="1" customWidth="1"/>
    <col min="8454" max="8455" width="11.33203125" style="1" customWidth="1"/>
    <col min="8456" max="8456" width="13.5" style="1" customWidth="1"/>
    <col min="8457" max="8703" width="8.83203125" style="1"/>
    <col min="8704" max="8704" width="4.5" style="1" customWidth="1"/>
    <col min="8705" max="8705" width="12.5" style="1" customWidth="1"/>
    <col min="8706" max="8706" width="11.83203125" style="1" customWidth="1"/>
    <col min="8707" max="8707" width="12.83203125" style="1" customWidth="1"/>
    <col min="8708" max="8708" width="11" style="1" customWidth="1"/>
    <col min="8709" max="8709" width="11.5" style="1" customWidth="1"/>
    <col min="8710" max="8711" width="11.33203125" style="1" customWidth="1"/>
    <col min="8712" max="8712" width="13.5" style="1" customWidth="1"/>
    <col min="8713" max="8959" width="8.83203125" style="1"/>
    <col min="8960" max="8960" width="4.5" style="1" customWidth="1"/>
    <col min="8961" max="8961" width="12.5" style="1" customWidth="1"/>
    <col min="8962" max="8962" width="11.83203125" style="1" customWidth="1"/>
    <col min="8963" max="8963" width="12.83203125" style="1" customWidth="1"/>
    <col min="8964" max="8964" width="11" style="1" customWidth="1"/>
    <col min="8965" max="8965" width="11.5" style="1" customWidth="1"/>
    <col min="8966" max="8967" width="11.33203125" style="1" customWidth="1"/>
    <col min="8968" max="8968" width="13.5" style="1" customWidth="1"/>
    <col min="8969" max="9215" width="8.83203125" style="1"/>
    <col min="9216" max="9216" width="4.5" style="1" customWidth="1"/>
    <col min="9217" max="9217" width="12.5" style="1" customWidth="1"/>
    <col min="9218" max="9218" width="11.83203125" style="1" customWidth="1"/>
    <col min="9219" max="9219" width="12.83203125" style="1" customWidth="1"/>
    <col min="9220" max="9220" width="11" style="1" customWidth="1"/>
    <col min="9221" max="9221" width="11.5" style="1" customWidth="1"/>
    <col min="9222" max="9223" width="11.33203125" style="1" customWidth="1"/>
    <col min="9224" max="9224" width="13.5" style="1" customWidth="1"/>
    <col min="9225" max="9471" width="8.83203125" style="1"/>
    <col min="9472" max="9472" width="4.5" style="1" customWidth="1"/>
    <col min="9473" max="9473" width="12.5" style="1" customWidth="1"/>
    <col min="9474" max="9474" width="11.83203125" style="1" customWidth="1"/>
    <col min="9475" max="9475" width="12.83203125" style="1" customWidth="1"/>
    <col min="9476" max="9476" width="11" style="1" customWidth="1"/>
    <col min="9477" max="9477" width="11.5" style="1" customWidth="1"/>
    <col min="9478" max="9479" width="11.33203125" style="1" customWidth="1"/>
    <col min="9480" max="9480" width="13.5" style="1" customWidth="1"/>
    <col min="9481" max="9727" width="8.83203125" style="1"/>
    <col min="9728" max="9728" width="4.5" style="1" customWidth="1"/>
    <col min="9729" max="9729" width="12.5" style="1" customWidth="1"/>
    <col min="9730" max="9730" width="11.83203125" style="1" customWidth="1"/>
    <col min="9731" max="9731" width="12.83203125" style="1" customWidth="1"/>
    <col min="9732" max="9732" width="11" style="1" customWidth="1"/>
    <col min="9733" max="9733" width="11.5" style="1" customWidth="1"/>
    <col min="9734" max="9735" width="11.33203125" style="1" customWidth="1"/>
    <col min="9736" max="9736" width="13.5" style="1" customWidth="1"/>
    <col min="9737" max="9983" width="8.83203125" style="1"/>
    <col min="9984" max="9984" width="4.5" style="1" customWidth="1"/>
    <col min="9985" max="9985" width="12.5" style="1" customWidth="1"/>
    <col min="9986" max="9986" width="11.83203125" style="1" customWidth="1"/>
    <col min="9987" max="9987" width="12.83203125" style="1" customWidth="1"/>
    <col min="9988" max="9988" width="11" style="1" customWidth="1"/>
    <col min="9989" max="9989" width="11.5" style="1" customWidth="1"/>
    <col min="9990" max="9991" width="11.33203125" style="1" customWidth="1"/>
    <col min="9992" max="9992" width="13.5" style="1" customWidth="1"/>
    <col min="9993" max="10239" width="8.83203125" style="1"/>
    <col min="10240" max="10240" width="4.5" style="1" customWidth="1"/>
    <col min="10241" max="10241" width="12.5" style="1" customWidth="1"/>
    <col min="10242" max="10242" width="11.83203125" style="1" customWidth="1"/>
    <col min="10243" max="10243" width="12.83203125" style="1" customWidth="1"/>
    <col min="10244" max="10244" width="11" style="1" customWidth="1"/>
    <col min="10245" max="10245" width="11.5" style="1" customWidth="1"/>
    <col min="10246" max="10247" width="11.33203125" style="1" customWidth="1"/>
    <col min="10248" max="10248" width="13.5" style="1" customWidth="1"/>
    <col min="10249" max="10495" width="8.83203125" style="1"/>
    <col min="10496" max="10496" width="4.5" style="1" customWidth="1"/>
    <col min="10497" max="10497" width="12.5" style="1" customWidth="1"/>
    <col min="10498" max="10498" width="11.83203125" style="1" customWidth="1"/>
    <col min="10499" max="10499" width="12.83203125" style="1" customWidth="1"/>
    <col min="10500" max="10500" width="11" style="1" customWidth="1"/>
    <col min="10501" max="10501" width="11.5" style="1" customWidth="1"/>
    <col min="10502" max="10503" width="11.33203125" style="1" customWidth="1"/>
    <col min="10504" max="10504" width="13.5" style="1" customWidth="1"/>
    <col min="10505" max="10751" width="8.83203125" style="1"/>
    <col min="10752" max="10752" width="4.5" style="1" customWidth="1"/>
    <col min="10753" max="10753" width="12.5" style="1" customWidth="1"/>
    <col min="10754" max="10754" width="11.83203125" style="1" customWidth="1"/>
    <col min="10755" max="10755" width="12.83203125" style="1" customWidth="1"/>
    <col min="10756" max="10756" width="11" style="1" customWidth="1"/>
    <col min="10757" max="10757" width="11.5" style="1" customWidth="1"/>
    <col min="10758" max="10759" width="11.33203125" style="1" customWidth="1"/>
    <col min="10760" max="10760" width="13.5" style="1" customWidth="1"/>
    <col min="10761" max="11007" width="8.83203125" style="1"/>
    <col min="11008" max="11008" width="4.5" style="1" customWidth="1"/>
    <col min="11009" max="11009" width="12.5" style="1" customWidth="1"/>
    <col min="11010" max="11010" width="11.83203125" style="1" customWidth="1"/>
    <col min="11011" max="11011" width="12.83203125" style="1" customWidth="1"/>
    <col min="11012" max="11012" width="11" style="1" customWidth="1"/>
    <col min="11013" max="11013" width="11.5" style="1" customWidth="1"/>
    <col min="11014" max="11015" width="11.33203125" style="1" customWidth="1"/>
    <col min="11016" max="11016" width="13.5" style="1" customWidth="1"/>
    <col min="11017" max="11263" width="8.83203125" style="1"/>
    <col min="11264" max="11264" width="4.5" style="1" customWidth="1"/>
    <col min="11265" max="11265" width="12.5" style="1" customWidth="1"/>
    <col min="11266" max="11266" width="11.83203125" style="1" customWidth="1"/>
    <col min="11267" max="11267" width="12.83203125" style="1" customWidth="1"/>
    <col min="11268" max="11268" width="11" style="1" customWidth="1"/>
    <col min="11269" max="11269" width="11.5" style="1" customWidth="1"/>
    <col min="11270" max="11271" width="11.33203125" style="1" customWidth="1"/>
    <col min="11272" max="11272" width="13.5" style="1" customWidth="1"/>
    <col min="11273" max="11519" width="8.83203125" style="1"/>
    <col min="11520" max="11520" width="4.5" style="1" customWidth="1"/>
    <col min="11521" max="11521" width="12.5" style="1" customWidth="1"/>
    <col min="11522" max="11522" width="11.83203125" style="1" customWidth="1"/>
    <col min="11523" max="11523" width="12.83203125" style="1" customWidth="1"/>
    <col min="11524" max="11524" width="11" style="1" customWidth="1"/>
    <col min="11525" max="11525" width="11.5" style="1" customWidth="1"/>
    <col min="11526" max="11527" width="11.33203125" style="1" customWidth="1"/>
    <col min="11528" max="11528" width="13.5" style="1" customWidth="1"/>
    <col min="11529" max="11775" width="8.83203125" style="1"/>
    <col min="11776" max="11776" width="4.5" style="1" customWidth="1"/>
    <col min="11777" max="11777" width="12.5" style="1" customWidth="1"/>
    <col min="11778" max="11778" width="11.83203125" style="1" customWidth="1"/>
    <col min="11779" max="11779" width="12.83203125" style="1" customWidth="1"/>
    <col min="11780" max="11780" width="11" style="1" customWidth="1"/>
    <col min="11781" max="11781" width="11.5" style="1" customWidth="1"/>
    <col min="11782" max="11783" width="11.33203125" style="1" customWidth="1"/>
    <col min="11784" max="11784" width="13.5" style="1" customWidth="1"/>
    <col min="11785" max="12031" width="8.83203125" style="1"/>
    <col min="12032" max="12032" width="4.5" style="1" customWidth="1"/>
    <col min="12033" max="12033" width="12.5" style="1" customWidth="1"/>
    <col min="12034" max="12034" width="11.83203125" style="1" customWidth="1"/>
    <col min="12035" max="12035" width="12.83203125" style="1" customWidth="1"/>
    <col min="12036" max="12036" width="11" style="1" customWidth="1"/>
    <col min="12037" max="12037" width="11.5" style="1" customWidth="1"/>
    <col min="12038" max="12039" width="11.33203125" style="1" customWidth="1"/>
    <col min="12040" max="12040" width="13.5" style="1" customWidth="1"/>
    <col min="12041" max="12287" width="8.83203125" style="1"/>
    <col min="12288" max="12288" width="4.5" style="1" customWidth="1"/>
    <col min="12289" max="12289" width="12.5" style="1" customWidth="1"/>
    <col min="12290" max="12290" width="11.83203125" style="1" customWidth="1"/>
    <col min="12291" max="12291" width="12.83203125" style="1" customWidth="1"/>
    <col min="12292" max="12292" width="11" style="1" customWidth="1"/>
    <col min="12293" max="12293" width="11.5" style="1" customWidth="1"/>
    <col min="12294" max="12295" width="11.33203125" style="1" customWidth="1"/>
    <col min="12296" max="12296" width="13.5" style="1" customWidth="1"/>
    <col min="12297" max="12543" width="8.83203125" style="1"/>
    <col min="12544" max="12544" width="4.5" style="1" customWidth="1"/>
    <col min="12545" max="12545" width="12.5" style="1" customWidth="1"/>
    <col min="12546" max="12546" width="11.83203125" style="1" customWidth="1"/>
    <col min="12547" max="12547" width="12.83203125" style="1" customWidth="1"/>
    <col min="12548" max="12548" width="11" style="1" customWidth="1"/>
    <col min="12549" max="12549" width="11.5" style="1" customWidth="1"/>
    <col min="12550" max="12551" width="11.33203125" style="1" customWidth="1"/>
    <col min="12552" max="12552" width="13.5" style="1" customWidth="1"/>
    <col min="12553" max="12799" width="8.83203125" style="1"/>
    <col min="12800" max="12800" width="4.5" style="1" customWidth="1"/>
    <col min="12801" max="12801" width="12.5" style="1" customWidth="1"/>
    <col min="12802" max="12802" width="11.83203125" style="1" customWidth="1"/>
    <col min="12803" max="12803" width="12.83203125" style="1" customWidth="1"/>
    <col min="12804" max="12804" width="11" style="1" customWidth="1"/>
    <col min="12805" max="12805" width="11.5" style="1" customWidth="1"/>
    <col min="12806" max="12807" width="11.33203125" style="1" customWidth="1"/>
    <col min="12808" max="12808" width="13.5" style="1" customWidth="1"/>
    <col min="12809" max="13055" width="8.83203125" style="1"/>
    <col min="13056" max="13056" width="4.5" style="1" customWidth="1"/>
    <col min="13057" max="13057" width="12.5" style="1" customWidth="1"/>
    <col min="13058" max="13058" width="11.83203125" style="1" customWidth="1"/>
    <col min="13059" max="13059" width="12.83203125" style="1" customWidth="1"/>
    <col min="13060" max="13060" width="11" style="1" customWidth="1"/>
    <col min="13061" max="13061" width="11.5" style="1" customWidth="1"/>
    <col min="13062" max="13063" width="11.33203125" style="1" customWidth="1"/>
    <col min="13064" max="13064" width="13.5" style="1" customWidth="1"/>
    <col min="13065" max="13311" width="8.83203125" style="1"/>
    <col min="13312" max="13312" width="4.5" style="1" customWidth="1"/>
    <col min="13313" max="13313" width="12.5" style="1" customWidth="1"/>
    <col min="13314" max="13314" width="11.83203125" style="1" customWidth="1"/>
    <col min="13315" max="13315" width="12.83203125" style="1" customWidth="1"/>
    <col min="13316" max="13316" width="11" style="1" customWidth="1"/>
    <col min="13317" max="13317" width="11.5" style="1" customWidth="1"/>
    <col min="13318" max="13319" width="11.33203125" style="1" customWidth="1"/>
    <col min="13320" max="13320" width="13.5" style="1" customWidth="1"/>
    <col min="13321" max="13567" width="8.83203125" style="1"/>
    <col min="13568" max="13568" width="4.5" style="1" customWidth="1"/>
    <col min="13569" max="13569" width="12.5" style="1" customWidth="1"/>
    <col min="13570" max="13570" width="11.83203125" style="1" customWidth="1"/>
    <col min="13571" max="13571" width="12.83203125" style="1" customWidth="1"/>
    <col min="13572" max="13572" width="11" style="1" customWidth="1"/>
    <col min="13573" max="13573" width="11.5" style="1" customWidth="1"/>
    <col min="13574" max="13575" width="11.33203125" style="1" customWidth="1"/>
    <col min="13576" max="13576" width="13.5" style="1" customWidth="1"/>
    <col min="13577" max="13823" width="8.83203125" style="1"/>
    <col min="13824" max="13824" width="4.5" style="1" customWidth="1"/>
    <col min="13825" max="13825" width="12.5" style="1" customWidth="1"/>
    <col min="13826" max="13826" width="11.83203125" style="1" customWidth="1"/>
    <col min="13827" max="13827" width="12.83203125" style="1" customWidth="1"/>
    <col min="13828" max="13828" width="11" style="1" customWidth="1"/>
    <col min="13829" max="13829" width="11.5" style="1" customWidth="1"/>
    <col min="13830" max="13831" width="11.33203125" style="1" customWidth="1"/>
    <col min="13832" max="13832" width="13.5" style="1" customWidth="1"/>
    <col min="13833" max="14079" width="8.83203125" style="1"/>
    <col min="14080" max="14080" width="4.5" style="1" customWidth="1"/>
    <col min="14081" max="14081" width="12.5" style="1" customWidth="1"/>
    <col min="14082" max="14082" width="11.83203125" style="1" customWidth="1"/>
    <col min="14083" max="14083" width="12.83203125" style="1" customWidth="1"/>
    <col min="14084" max="14084" width="11" style="1" customWidth="1"/>
    <col min="14085" max="14085" width="11.5" style="1" customWidth="1"/>
    <col min="14086" max="14087" width="11.33203125" style="1" customWidth="1"/>
    <col min="14088" max="14088" width="13.5" style="1" customWidth="1"/>
    <col min="14089" max="14335" width="8.83203125" style="1"/>
    <col min="14336" max="14336" width="4.5" style="1" customWidth="1"/>
    <col min="14337" max="14337" width="12.5" style="1" customWidth="1"/>
    <col min="14338" max="14338" width="11.83203125" style="1" customWidth="1"/>
    <col min="14339" max="14339" width="12.83203125" style="1" customWidth="1"/>
    <col min="14340" max="14340" width="11" style="1" customWidth="1"/>
    <col min="14341" max="14341" width="11.5" style="1" customWidth="1"/>
    <col min="14342" max="14343" width="11.33203125" style="1" customWidth="1"/>
    <col min="14344" max="14344" width="13.5" style="1" customWidth="1"/>
    <col min="14345" max="14591" width="8.83203125" style="1"/>
    <col min="14592" max="14592" width="4.5" style="1" customWidth="1"/>
    <col min="14593" max="14593" width="12.5" style="1" customWidth="1"/>
    <col min="14594" max="14594" width="11.83203125" style="1" customWidth="1"/>
    <col min="14595" max="14595" width="12.83203125" style="1" customWidth="1"/>
    <col min="14596" max="14596" width="11" style="1" customWidth="1"/>
    <col min="14597" max="14597" width="11.5" style="1" customWidth="1"/>
    <col min="14598" max="14599" width="11.33203125" style="1" customWidth="1"/>
    <col min="14600" max="14600" width="13.5" style="1" customWidth="1"/>
    <col min="14601" max="14847" width="8.83203125" style="1"/>
    <col min="14848" max="14848" width="4.5" style="1" customWidth="1"/>
    <col min="14849" max="14849" width="12.5" style="1" customWidth="1"/>
    <col min="14850" max="14850" width="11.83203125" style="1" customWidth="1"/>
    <col min="14851" max="14851" width="12.83203125" style="1" customWidth="1"/>
    <col min="14852" max="14852" width="11" style="1" customWidth="1"/>
    <col min="14853" max="14853" width="11.5" style="1" customWidth="1"/>
    <col min="14854" max="14855" width="11.33203125" style="1" customWidth="1"/>
    <col min="14856" max="14856" width="13.5" style="1" customWidth="1"/>
    <col min="14857" max="15103" width="8.83203125" style="1"/>
    <col min="15104" max="15104" width="4.5" style="1" customWidth="1"/>
    <col min="15105" max="15105" width="12.5" style="1" customWidth="1"/>
    <col min="15106" max="15106" width="11.83203125" style="1" customWidth="1"/>
    <col min="15107" max="15107" width="12.83203125" style="1" customWidth="1"/>
    <col min="15108" max="15108" width="11" style="1" customWidth="1"/>
    <col min="15109" max="15109" width="11.5" style="1" customWidth="1"/>
    <col min="15110" max="15111" width="11.33203125" style="1" customWidth="1"/>
    <col min="15112" max="15112" width="13.5" style="1" customWidth="1"/>
    <col min="15113" max="15359" width="8.83203125" style="1"/>
    <col min="15360" max="15360" width="4.5" style="1" customWidth="1"/>
    <col min="15361" max="15361" width="12.5" style="1" customWidth="1"/>
    <col min="15362" max="15362" width="11.83203125" style="1" customWidth="1"/>
    <col min="15363" max="15363" width="12.83203125" style="1" customWidth="1"/>
    <col min="15364" max="15364" width="11" style="1" customWidth="1"/>
    <col min="15365" max="15365" width="11.5" style="1" customWidth="1"/>
    <col min="15366" max="15367" width="11.33203125" style="1" customWidth="1"/>
    <col min="15368" max="15368" width="13.5" style="1" customWidth="1"/>
    <col min="15369" max="15615" width="8.83203125" style="1"/>
    <col min="15616" max="15616" width="4.5" style="1" customWidth="1"/>
    <col min="15617" max="15617" width="12.5" style="1" customWidth="1"/>
    <col min="15618" max="15618" width="11.83203125" style="1" customWidth="1"/>
    <col min="15619" max="15619" width="12.83203125" style="1" customWidth="1"/>
    <col min="15620" max="15620" width="11" style="1" customWidth="1"/>
    <col min="15621" max="15621" width="11.5" style="1" customWidth="1"/>
    <col min="15622" max="15623" width="11.33203125" style="1" customWidth="1"/>
    <col min="15624" max="15624" width="13.5" style="1" customWidth="1"/>
    <col min="15625" max="15871" width="8.83203125" style="1"/>
    <col min="15872" max="15872" width="4.5" style="1" customWidth="1"/>
    <col min="15873" max="15873" width="12.5" style="1" customWidth="1"/>
    <col min="15874" max="15874" width="11.83203125" style="1" customWidth="1"/>
    <col min="15875" max="15875" width="12.83203125" style="1" customWidth="1"/>
    <col min="15876" max="15876" width="11" style="1" customWidth="1"/>
    <col min="15877" max="15877" width="11.5" style="1" customWidth="1"/>
    <col min="15878" max="15879" width="11.33203125" style="1" customWidth="1"/>
    <col min="15880" max="15880" width="13.5" style="1" customWidth="1"/>
    <col min="15881" max="16127" width="8.83203125" style="1"/>
    <col min="16128" max="16128" width="4.5" style="1" customWidth="1"/>
    <col min="16129" max="16129" width="12.5" style="1" customWidth="1"/>
    <col min="16130" max="16130" width="11.83203125" style="1" customWidth="1"/>
    <col min="16131" max="16131" width="12.83203125" style="1" customWidth="1"/>
    <col min="16132" max="16132" width="11" style="1" customWidth="1"/>
    <col min="16133" max="16133" width="11.5" style="1" customWidth="1"/>
    <col min="16134" max="16135" width="11.33203125" style="1" customWidth="1"/>
    <col min="16136" max="16136" width="13.5" style="1" customWidth="1"/>
    <col min="16137" max="16384" width="8.83203125" style="1"/>
  </cols>
  <sheetData>
    <row r="1" spans="1:16" ht="33" customHeight="1">
      <c r="A1" s="711" t="s">
        <v>104</v>
      </c>
      <c r="B1" s="712"/>
      <c r="C1" s="712"/>
      <c r="D1" s="712"/>
      <c r="E1" s="712"/>
      <c r="F1" s="712"/>
      <c r="G1" s="712"/>
      <c r="H1" s="712"/>
    </row>
    <row r="2" spans="1:16" ht="22" customHeight="1">
      <c r="A2" s="89" t="str">
        <f>'Summary Schedule'!A53</f>
        <v>4.1.5.c</v>
      </c>
      <c r="B2" s="89" t="str">
        <f>'Summary Schedule'!A54</f>
        <v>04232024</v>
      </c>
      <c r="C2" s="89"/>
      <c r="D2" s="89"/>
      <c r="E2" s="89"/>
      <c r="F2" s="89"/>
      <c r="G2" s="89"/>
      <c r="H2" s="89"/>
    </row>
    <row r="3" spans="1:16" ht="19.5" customHeight="1" thickBot="1">
      <c r="A3" s="98"/>
      <c r="B3" s="98"/>
      <c r="C3" s="98"/>
      <c r="D3" s="2" t="s">
        <v>92</v>
      </c>
      <c r="E3" s="2"/>
      <c r="F3" s="98"/>
      <c r="G3" s="98"/>
      <c r="H3" s="88"/>
      <c r="I3" s="86"/>
      <c r="J3" s="86"/>
      <c r="K3" s="86"/>
      <c r="L3" s="86"/>
    </row>
    <row r="4" spans="1:16">
      <c r="A4" s="710" t="s">
        <v>93</v>
      </c>
      <c r="B4" s="710"/>
      <c r="C4" s="710"/>
      <c r="D4" s="134">
        <f>'Summary Schedule'!G26+'Summary Schedule'!G27+'Summary Schedule'!G28-'Summary Schedule'!G29</f>
        <v>18024232.379310332</v>
      </c>
      <c r="E4" s="98" t="s">
        <v>102</v>
      </c>
      <c r="F4" s="1"/>
      <c r="G4" s="1" t="e" cm="1">
        <f t="array" aca="1" ref="G4" ca="1">INDIRECT("'Amortization-HIDDEN'!N"&amp;D4+16&amp;"")</f>
        <v>#REF!</v>
      </c>
      <c r="H4" s="1"/>
      <c r="I4" s="1"/>
    </row>
    <row r="5" spans="1:16">
      <c r="A5" s="710" t="s">
        <v>117</v>
      </c>
      <c r="B5" s="710"/>
      <c r="C5" s="710"/>
      <c r="D5" s="135">
        <f>'Summary Schedule'!C30/12</f>
        <v>4.1666666666666666E-3</v>
      </c>
      <c r="E5" s="98" t="s">
        <v>102</v>
      </c>
      <c r="F5" s="1"/>
      <c r="G5" s="1"/>
      <c r="H5" s="126"/>
      <c r="I5" s="1"/>
    </row>
    <row r="6" spans="1:16">
      <c r="A6" s="710" t="s">
        <v>118</v>
      </c>
      <c r="B6" s="710"/>
      <c r="C6" s="710"/>
      <c r="D6" s="130">
        <v>480</v>
      </c>
      <c r="E6" s="98" t="s">
        <v>108</v>
      </c>
      <c r="F6" s="1"/>
      <c r="G6" s="118"/>
      <c r="H6" s="1"/>
      <c r="I6" s="87"/>
    </row>
    <row r="7" spans="1:16" ht="14" thickBot="1">
      <c r="A7" s="710" t="s">
        <v>94</v>
      </c>
      <c r="B7" s="710"/>
      <c r="C7" s="710"/>
      <c r="D7" s="187">
        <f>IF('Summary Schedule'!G32="",1/1/1,'Summary Schedule'!G32)</f>
        <v>46315</v>
      </c>
      <c r="E7" s="98" t="s">
        <v>102</v>
      </c>
      <c r="F7" s="1"/>
      <c r="G7" s="1"/>
      <c r="H7" s="1"/>
      <c r="I7" s="1"/>
    </row>
    <row r="8" spans="1:16">
      <c r="A8" s="90"/>
      <c r="B8" s="90"/>
      <c r="C8" s="90"/>
      <c r="D8" s="91"/>
      <c r="E8" s="90"/>
      <c r="F8" s="1"/>
      <c r="G8" s="1"/>
      <c r="H8" s="1"/>
      <c r="I8" s="1" t="str">
        <f>CHAR(COLUMN(J1))</f>
        <v xml:space="preserve">
</v>
      </c>
    </row>
    <row r="9" spans="1:16" ht="14.25" customHeight="1" thickBot="1">
      <c r="A9" s="98"/>
      <c r="B9" s="98"/>
      <c r="C9" s="98"/>
      <c r="D9" s="98"/>
      <c r="E9" s="98"/>
      <c r="F9" s="1"/>
      <c r="G9" s="1"/>
      <c r="H9" s="1"/>
      <c r="I9" s="1"/>
      <c r="K9" s="87"/>
      <c r="M9" s="126"/>
    </row>
    <row r="10" spans="1:16" ht="14.25" customHeight="1" thickBot="1">
      <c r="A10" s="710" t="s">
        <v>129</v>
      </c>
      <c r="B10" s="710"/>
      <c r="C10" s="710"/>
      <c r="D10" s="92">
        <f>IF('Summary Schedule'!C36="Beginning",1,0)</f>
        <v>0</v>
      </c>
      <c r="E10" s="98" t="s">
        <v>103</v>
      </c>
      <c r="F10" s="1"/>
      <c r="G10" s="1"/>
      <c r="H10" s="1"/>
      <c r="I10" s="1"/>
      <c r="K10" s="87"/>
      <c r="L10" s="117"/>
    </row>
    <row r="11" spans="1:16" ht="14.25" customHeight="1">
      <c r="A11" s="710" t="s">
        <v>127</v>
      </c>
      <c r="B11" s="710"/>
      <c r="C11" s="710"/>
      <c r="D11" s="130">
        <f ca="1">M15</f>
        <v>18</v>
      </c>
      <c r="E11" s="98"/>
      <c r="F11" s="1"/>
      <c r="G11" s="95"/>
      <c r="H11" s="1"/>
      <c r="I11" s="1"/>
    </row>
    <row r="12" spans="1:16">
      <c r="A12" s="710" t="s">
        <v>125</v>
      </c>
      <c r="B12" s="710"/>
      <c r="C12" s="710"/>
      <c r="D12" s="131"/>
      <c r="E12" s="97"/>
      <c r="F12" s="96"/>
      <c r="G12" s="96"/>
      <c r="H12" s="1"/>
      <c r="I12" s="1"/>
    </row>
    <row r="13" spans="1:16">
      <c r="A13" s="710" t="s">
        <v>95</v>
      </c>
      <c r="B13" s="710"/>
      <c r="C13" s="710"/>
      <c r="D13" s="132"/>
      <c r="E13" s="97"/>
      <c r="F13" s="1"/>
      <c r="G13" s="1"/>
      <c r="H13" s="1"/>
      <c r="I13" s="1"/>
    </row>
    <row r="14" spans="1:16" ht="14.25" customHeight="1" thickBot="1">
      <c r="A14" s="710" t="s">
        <v>128</v>
      </c>
      <c r="B14" s="710"/>
      <c r="C14" s="710"/>
      <c r="D14" s="133"/>
      <c r="E14" s="98"/>
      <c r="F14" s="115"/>
      <c r="G14" s="115"/>
      <c r="H14" s="115"/>
      <c r="I14" s="1"/>
    </row>
    <row r="15" spans="1:16" ht="15.75" customHeight="1">
      <c r="A15" s="710"/>
      <c r="B15" s="710"/>
      <c r="C15" s="710"/>
      <c r="D15" s="129" t="s">
        <v>122</v>
      </c>
      <c r="E15" s="91"/>
      <c r="F15" s="1"/>
      <c r="G15" s="1"/>
      <c r="H15" s="1"/>
      <c r="I15" s="1"/>
      <c r="M15" s="1">
        <f ca="1">COUNTIF(M17:M56,"&lt;&gt;0")</f>
        <v>18</v>
      </c>
    </row>
    <row r="16" spans="1:16" s="3" customFormat="1" ht="28.5" customHeight="1">
      <c r="A16" s="143" t="s">
        <v>96</v>
      </c>
      <c r="B16" s="143" t="s">
        <v>97</v>
      </c>
      <c r="C16" s="143" t="s">
        <v>98</v>
      </c>
      <c r="D16" s="116"/>
      <c r="E16" s="143" t="s">
        <v>126</v>
      </c>
      <c r="F16" s="143" t="s">
        <v>99</v>
      </c>
      <c r="G16" s="143" t="s">
        <v>100</v>
      </c>
      <c r="H16" s="143" t="s">
        <v>101</v>
      </c>
      <c r="I16" s="93"/>
      <c r="J16" s="119" t="s">
        <v>115</v>
      </c>
      <c r="K16" s="119" t="s">
        <v>114</v>
      </c>
      <c r="L16" s="119" t="s">
        <v>124</v>
      </c>
      <c r="M16" s="119" t="s">
        <v>116</v>
      </c>
      <c r="N16" s="119" t="str">
        <f>F16</f>
        <v>Principal</v>
      </c>
      <c r="O16" s="119" t="str">
        <f>G16</f>
        <v>Interest</v>
      </c>
      <c r="P16" s="120"/>
    </row>
    <row r="17" spans="1:22">
      <c r="A17" s="140">
        <v>0</v>
      </c>
      <c r="B17" s="140"/>
      <c r="C17" s="141"/>
      <c r="D17" s="141">
        <f ca="1">IF(H17&lt;0,0,K17-L17)</f>
        <v>1359829</v>
      </c>
      <c r="E17" s="141"/>
      <c r="F17" s="141"/>
      <c r="G17" s="141"/>
      <c r="H17" s="141">
        <f>D4</f>
        <v>18024232.379310332</v>
      </c>
      <c r="I17" s="288">
        <f ca="1">ROUND((D17-H17),0)</f>
        <v>-16664403</v>
      </c>
      <c r="J17" s="121">
        <v>1</v>
      </c>
      <c r="K17" s="122">
        <f ca="1">ROUND('Itemized Costs-HIDDEN'!M5,0)</f>
        <v>1485412</v>
      </c>
      <c r="L17" s="122">
        <f>'Sch3-Perf Period Cash Flow'!$D$21</f>
        <v>125583</v>
      </c>
      <c r="M17" s="122">
        <f ca="1">N17+O17</f>
        <v>1359828</v>
      </c>
      <c r="N17" s="122">
        <f ca="1">ROUND(SUM(INDIRECT(S17):INDIRECT(T17)),0)</f>
        <v>443340</v>
      </c>
      <c r="O17" s="122">
        <f ca="1">IF(N17=0,0,ROUND(SUM(INDIRECT(U17):INDIRECT(V17)),0))</f>
        <v>916488</v>
      </c>
      <c r="P17" s="123">
        <f ca="1">IF(M17&gt;0.005,J17,"")</f>
        <v>1</v>
      </c>
      <c r="Q17" s="1">
        <v>18</v>
      </c>
      <c r="R17" s="1">
        <f t="shared" ref="R17:R34" si="0">Q17+11</f>
        <v>29</v>
      </c>
      <c r="S17" s="1" t="str">
        <f>CONCATENATE("f",Q17)</f>
        <v>f18</v>
      </c>
      <c r="T17" s="1" t="str">
        <f>CONCATENATE("f",R17)</f>
        <v>f29</v>
      </c>
      <c r="U17" s="1" t="str">
        <f t="shared" ref="U17" si="1">CONCATENATE("G",Q17)</f>
        <v>G18</v>
      </c>
      <c r="V17" s="1" t="str">
        <f t="shared" ref="V17" si="2">CONCATENATE("G",R17)</f>
        <v>G29</v>
      </c>
    </row>
    <row r="18" spans="1:22">
      <c r="A18" s="140">
        <f>IF(A17="","",IF(A17=$D$6,"",A17+1))</f>
        <v>1</v>
      </c>
      <c r="B18" s="142">
        <f>D7</f>
        <v>46315</v>
      </c>
      <c r="C18" s="141">
        <f>IF(H17=0,0,H17)</f>
        <v>18024232.379310332</v>
      </c>
      <c r="D18" s="140"/>
      <c r="E18" s="141">
        <f>IF($D$10=1,IF(MONTH(B18)=MONTH($D$7),D17-'Sch3-Perf Period Cash Flow'!D7,0),IF(MONTH(B18)=MONTH(EDATE($D$7,11)),MIN(H17,D17)-'Sch3-Perf Period Cash Flow'!D7,0))</f>
        <v>0</v>
      </c>
      <c r="F18" s="141">
        <f>IF(E18="","",E18-G18)</f>
        <v>-75100.967999999993</v>
      </c>
      <c r="G18" s="141">
        <f>ROUND((C18-E18)*$D$5,3)</f>
        <v>75100.967999999993</v>
      </c>
      <c r="H18" s="141">
        <f>IF(E18="","",ROUND(H17-F18,4))</f>
        <v>18099333.3473</v>
      </c>
      <c r="I18" s="288">
        <f t="shared" ref="I18:I81" si="3">ROUND((D18-H18),0)</f>
        <v>-18099333</v>
      </c>
      <c r="J18" s="121">
        <f>IF(J17="","",IF((J17)*12&lt;$D$6,J17+1,""))</f>
        <v>2</v>
      </c>
      <c r="K18" s="122">
        <f ca="1">ROUND('Itemized Costs-HIDDEN'!M6,0)</f>
        <v>1515190</v>
      </c>
      <c r="L18" s="122">
        <f>'Sch3-Perf Period Cash Flow'!$E$21</f>
        <v>128472</v>
      </c>
      <c r="M18" s="122">
        <f t="shared" ref="M18:M40" ca="1" si="4">N18+O18</f>
        <v>1386717</v>
      </c>
      <c r="N18" s="122">
        <f ca="1">ROUND(SUM(INDIRECT(S18):INDIRECT(T18)),0)</f>
        <v>493023</v>
      </c>
      <c r="O18" s="122">
        <f ca="1">IF(N18=0,0,ROUND(SUM(INDIRECT(U18):INDIRECT(V18)),0))</f>
        <v>893694</v>
      </c>
      <c r="P18" s="123">
        <f t="shared" ref="P18:P72" ca="1" si="5">IF(M18&gt;0.005,J18,"")</f>
        <v>2</v>
      </c>
      <c r="Q18" s="1">
        <f>Q17+12</f>
        <v>30</v>
      </c>
      <c r="R18" s="1">
        <f t="shared" si="0"/>
        <v>41</v>
      </c>
      <c r="S18" s="1" t="str">
        <f t="shared" ref="S18:S72" si="6">CONCATENATE("f",Q18)</f>
        <v>f30</v>
      </c>
      <c r="T18" s="1" t="str">
        <f t="shared" ref="T18:T72" si="7">CONCATENATE("f",R18)</f>
        <v>f41</v>
      </c>
      <c r="U18" s="1" t="str">
        <f t="shared" ref="U18:U36" si="8">CONCATENATE("G",Q18)</f>
        <v>G30</v>
      </c>
      <c r="V18" s="1" t="str">
        <f t="shared" ref="V18:V36" si="9">CONCATENATE("G",R18)</f>
        <v>G41</v>
      </c>
    </row>
    <row r="19" spans="1:22">
      <c r="A19" s="140">
        <f t="shared" ref="A19:A82" si="10">IF(A18="","",IF(A18=$D$6,"",A18+1))</f>
        <v>2</v>
      </c>
      <c r="B19" s="142">
        <f>DATE(YEAR(B18),MONTH(B18)+1,1)</f>
        <v>46327</v>
      </c>
      <c r="C19" s="141">
        <f t="shared" ref="C19:C82" si="11">IF(H18=0,0,H18)</f>
        <v>18099333.3473</v>
      </c>
      <c r="D19" s="140"/>
      <c r="E19" s="141">
        <f t="shared" ref="E19:E82" si="12">IF($D$10=1,IF(MONTH(B19)=MONTH($D$7),D18,0),IF(MONTH(B19)=MONTH(EDATE($D$7,11)),MIN(D7,H18),0))</f>
        <v>0</v>
      </c>
      <c r="F19" s="141">
        <f t="shared" ref="F19:F81" si="13">IF(E19="","",E19-G19)</f>
        <v>-75413.888999999996</v>
      </c>
      <c r="G19" s="141">
        <f t="shared" ref="G19:G82" si="14">ROUND((C19-E19)*$D$5,3)</f>
        <v>75413.888999999996</v>
      </c>
      <c r="H19" s="141">
        <f t="shared" ref="H19:H82" si="15">IF(E19="","",ROUND(H18-F19,4))</f>
        <v>18174747.236299999</v>
      </c>
      <c r="I19" s="288">
        <f t="shared" si="3"/>
        <v>-18174747</v>
      </c>
      <c r="J19" s="121">
        <f t="shared" ref="J19:J56" si="16">IF(J18="","",IF((J18)*12&lt;$D$6,J18+1,""))</f>
        <v>3</v>
      </c>
      <c r="K19" s="122">
        <f ca="1">ROUND('Itemized Costs-HIDDEN'!M7,0)</f>
        <v>1545711</v>
      </c>
      <c r="L19" s="122">
        <f>'Sch3-Perf Period Cash Flow'!$F$21</f>
        <v>131427</v>
      </c>
      <c r="M19" s="122">
        <f t="shared" ca="1" si="4"/>
        <v>1414283</v>
      </c>
      <c r="N19" s="122">
        <f ca="1">ROUND(SUM(INDIRECT(S19):INDIRECT(T19)),0)</f>
        <v>545928</v>
      </c>
      <c r="O19" s="122">
        <f ca="1">IF(N19=0,0,ROUND(SUM(INDIRECT(U19):INDIRECT(V19)),0))</f>
        <v>868355</v>
      </c>
      <c r="P19" s="123">
        <f t="shared" ca="1" si="5"/>
        <v>3</v>
      </c>
      <c r="Q19" s="1">
        <f t="shared" ref="Q19:Q72" si="17">Q18+12</f>
        <v>42</v>
      </c>
      <c r="R19" s="1">
        <f t="shared" si="0"/>
        <v>53</v>
      </c>
      <c r="S19" s="1" t="str">
        <f t="shared" si="6"/>
        <v>f42</v>
      </c>
      <c r="T19" s="1" t="str">
        <f t="shared" si="7"/>
        <v>f53</v>
      </c>
      <c r="U19" s="1" t="str">
        <f t="shared" si="8"/>
        <v>G42</v>
      </c>
      <c r="V19" s="1" t="str">
        <f t="shared" si="9"/>
        <v>G53</v>
      </c>
    </row>
    <row r="20" spans="1:22">
      <c r="A20" s="140">
        <f t="shared" si="10"/>
        <v>3</v>
      </c>
      <c r="B20" s="142">
        <f t="shared" ref="B20:B83" si="18">DATE(YEAR(B19),MONTH(B19)+1,1)</f>
        <v>46357</v>
      </c>
      <c r="C20" s="141">
        <f t="shared" si="11"/>
        <v>18174747.236299999</v>
      </c>
      <c r="D20" s="140"/>
      <c r="E20" s="141">
        <f t="shared" si="12"/>
        <v>0</v>
      </c>
      <c r="F20" s="141">
        <f t="shared" si="13"/>
        <v>-75728.112999999998</v>
      </c>
      <c r="G20" s="141">
        <f t="shared" si="14"/>
        <v>75728.112999999998</v>
      </c>
      <c r="H20" s="141">
        <f t="shared" si="15"/>
        <v>18250475.349300001</v>
      </c>
      <c r="I20" s="288">
        <f t="shared" si="3"/>
        <v>-18250475</v>
      </c>
      <c r="J20" s="121">
        <f t="shared" si="16"/>
        <v>4</v>
      </c>
      <c r="K20" s="122">
        <f ca="1">ROUND('Itemized Costs-HIDDEN'!M8,0)</f>
        <v>1576997</v>
      </c>
      <c r="L20" s="122">
        <f>'Sch3-Perf Period Cash Flow'!$G$21</f>
        <v>134450</v>
      </c>
      <c r="M20" s="122">
        <f t="shared" ca="1" si="4"/>
        <v>1442546</v>
      </c>
      <c r="N20" s="122">
        <f ca="1">ROUND(SUM(INDIRECT(S20):INDIRECT(T20)),0)</f>
        <v>602240</v>
      </c>
      <c r="O20" s="122">
        <f ca="1">IF(N20=0,0,ROUND(SUM(INDIRECT(U20):INDIRECT(V20)),0))</f>
        <v>840306</v>
      </c>
      <c r="P20" s="123">
        <f t="shared" ca="1" si="5"/>
        <v>4</v>
      </c>
      <c r="Q20" s="1">
        <f t="shared" si="17"/>
        <v>54</v>
      </c>
      <c r="R20" s="1">
        <f t="shared" si="0"/>
        <v>65</v>
      </c>
      <c r="S20" s="1" t="str">
        <f t="shared" si="6"/>
        <v>f54</v>
      </c>
      <c r="T20" s="1" t="str">
        <f t="shared" si="7"/>
        <v>f65</v>
      </c>
      <c r="U20" s="1" t="str">
        <f t="shared" si="8"/>
        <v>G54</v>
      </c>
      <c r="V20" s="1" t="str">
        <f t="shared" si="9"/>
        <v>G65</v>
      </c>
    </row>
    <row r="21" spans="1:22">
      <c r="A21" s="140">
        <f t="shared" si="10"/>
        <v>4</v>
      </c>
      <c r="B21" s="142">
        <f t="shared" si="18"/>
        <v>46388</v>
      </c>
      <c r="C21" s="141">
        <f t="shared" si="11"/>
        <v>18250475.349300001</v>
      </c>
      <c r="D21" s="140"/>
      <c r="E21" s="141">
        <f t="shared" si="12"/>
        <v>0</v>
      </c>
      <c r="F21" s="141">
        <f t="shared" si="13"/>
        <v>-76043.646999999997</v>
      </c>
      <c r="G21" s="141">
        <f t="shared" si="14"/>
        <v>76043.646999999997</v>
      </c>
      <c r="H21" s="141">
        <f t="shared" si="15"/>
        <v>18326518.996300001</v>
      </c>
      <c r="I21" s="288">
        <f t="shared" si="3"/>
        <v>-18326519</v>
      </c>
      <c r="J21" s="121">
        <f t="shared" si="16"/>
        <v>5</v>
      </c>
      <c r="K21" s="122">
        <f ca="1">ROUND('Itemized Costs-HIDDEN'!M9,0)</f>
        <v>1609069</v>
      </c>
      <c r="L21" s="122">
        <f>'Sch3-Perf Period Cash Flow'!$H$21</f>
        <v>137542</v>
      </c>
      <c r="M21" s="122">
        <f t="shared" ca="1" si="4"/>
        <v>1471526</v>
      </c>
      <c r="N21" s="122">
        <f ca="1">ROUND(SUM(INDIRECT(S21):INDIRECT(T21)),0)</f>
        <v>662152</v>
      </c>
      <c r="O21" s="122">
        <f ca="1">IF(N21=0,0,ROUND(SUM(INDIRECT(U21):INDIRECT(V21)),0))</f>
        <v>809374</v>
      </c>
      <c r="P21" s="123">
        <f t="shared" ca="1" si="5"/>
        <v>5</v>
      </c>
      <c r="Q21" s="1">
        <f t="shared" si="17"/>
        <v>66</v>
      </c>
      <c r="R21" s="1">
        <f t="shared" si="0"/>
        <v>77</v>
      </c>
      <c r="S21" s="1" t="str">
        <f t="shared" si="6"/>
        <v>f66</v>
      </c>
      <c r="T21" s="1" t="str">
        <f t="shared" si="7"/>
        <v>f77</v>
      </c>
      <c r="U21" s="1" t="str">
        <f t="shared" si="8"/>
        <v>G66</v>
      </c>
      <c r="V21" s="1" t="str">
        <f t="shared" si="9"/>
        <v>G77</v>
      </c>
    </row>
    <row r="22" spans="1:22">
      <c r="A22" s="140">
        <f t="shared" si="10"/>
        <v>5</v>
      </c>
      <c r="B22" s="142">
        <f t="shared" si="18"/>
        <v>46419</v>
      </c>
      <c r="C22" s="141">
        <f t="shared" si="11"/>
        <v>18326518.996300001</v>
      </c>
      <c r="D22" s="140"/>
      <c r="E22" s="141">
        <f t="shared" si="12"/>
        <v>0</v>
      </c>
      <c r="F22" s="141">
        <f t="shared" si="13"/>
        <v>-76360.495999999999</v>
      </c>
      <c r="G22" s="141">
        <f t="shared" si="14"/>
        <v>76360.495999999999</v>
      </c>
      <c r="H22" s="141">
        <f t="shared" si="15"/>
        <v>18402879.4923</v>
      </c>
      <c r="I22" s="288">
        <f t="shared" si="3"/>
        <v>-18402879</v>
      </c>
      <c r="J22" s="121">
        <f t="shared" si="16"/>
        <v>6</v>
      </c>
      <c r="K22" s="122">
        <f ca="1">ROUND('Itemized Costs-HIDDEN'!M10,0)</f>
        <v>1641952</v>
      </c>
      <c r="L22" s="122">
        <f>'Sch3-Perf Period Cash Flow'!$I$21</f>
        <v>140705</v>
      </c>
      <c r="M22" s="122">
        <f t="shared" ca="1" si="4"/>
        <v>1501246</v>
      </c>
      <c r="N22" s="122">
        <f ca="1">ROUND(SUM(INDIRECT(S22):INDIRECT(T22)),0)</f>
        <v>725873</v>
      </c>
      <c r="O22" s="122">
        <f ca="1">IF(N22=0,0,ROUND(SUM(INDIRECT(U22):INDIRECT(V22)),0))</f>
        <v>775373</v>
      </c>
      <c r="P22" s="123">
        <f t="shared" ca="1" si="5"/>
        <v>6</v>
      </c>
      <c r="Q22" s="1">
        <f t="shared" si="17"/>
        <v>78</v>
      </c>
      <c r="R22" s="1">
        <f t="shared" si="0"/>
        <v>89</v>
      </c>
      <c r="S22" s="1" t="str">
        <f t="shared" si="6"/>
        <v>f78</v>
      </c>
      <c r="T22" s="1" t="str">
        <f t="shared" si="7"/>
        <v>f89</v>
      </c>
      <c r="U22" s="1" t="str">
        <f t="shared" si="8"/>
        <v>G78</v>
      </c>
      <c r="V22" s="1" t="str">
        <f t="shared" si="9"/>
        <v>G89</v>
      </c>
    </row>
    <row r="23" spans="1:22">
      <c r="A23" s="140">
        <f t="shared" si="10"/>
        <v>6</v>
      </c>
      <c r="B23" s="142">
        <f t="shared" si="18"/>
        <v>46447</v>
      </c>
      <c r="C23" s="141">
        <f t="shared" si="11"/>
        <v>18402879.4923</v>
      </c>
      <c r="D23" s="140"/>
      <c r="E23" s="141">
        <f t="shared" si="12"/>
        <v>0</v>
      </c>
      <c r="F23" s="141">
        <f t="shared" si="13"/>
        <v>-76678.664999999994</v>
      </c>
      <c r="G23" s="141">
        <f t="shared" si="14"/>
        <v>76678.664999999994</v>
      </c>
      <c r="H23" s="141">
        <f t="shared" si="15"/>
        <v>18479558.157299999</v>
      </c>
      <c r="I23" s="288">
        <f t="shared" si="3"/>
        <v>-18479558</v>
      </c>
      <c r="J23" s="121">
        <f t="shared" si="16"/>
        <v>7</v>
      </c>
      <c r="K23" s="122">
        <f ca="1">ROUND('Itemized Costs-HIDDEN'!M11,0)</f>
        <v>1675670</v>
      </c>
      <c r="L23" s="122">
        <f>'Sch3-Perf Period Cash Flow'!$J$21</f>
        <v>143941</v>
      </c>
      <c r="M23" s="122">
        <f t="shared" ca="1" si="4"/>
        <v>1531728</v>
      </c>
      <c r="N23" s="122">
        <f ca="1">ROUND(SUM(INDIRECT(S23):INDIRECT(T23)),0)</f>
        <v>793619</v>
      </c>
      <c r="O23" s="122">
        <f ca="1">IF(N23=0,0,ROUND(SUM(INDIRECT(U23):INDIRECT(V23)),0))</f>
        <v>738109</v>
      </c>
      <c r="P23" s="123">
        <f t="shared" ca="1" si="5"/>
        <v>7</v>
      </c>
      <c r="Q23" s="1">
        <f t="shared" si="17"/>
        <v>90</v>
      </c>
      <c r="R23" s="1">
        <f t="shared" si="0"/>
        <v>101</v>
      </c>
      <c r="S23" s="1" t="str">
        <f t="shared" si="6"/>
        <v>f90</v>
      </c>
      <c r="T23" s="1" t="str">
        <f t="shared" si="7"/>
        <v>f101</v>
      </c>
      <c r="U23" s="1" t="str">
        <f t="shared" si="8"/>
        <v>G90</v>
      </c>
      <c r="V23" s="1" t="str">
        <f t="shared" si="9"/>
        <v>G101</v>
      </c>
    </row>
    <row r="24" spans="1:22">
      <c r="A24" s="140">
        <f t="shared" si="10"/>
        <v>7</v>
      </c>
      <c r="B24" s="142">
        <f t="shared" si="18"/>
        <v>46478</v>
      </c>
      <c r="C24" s="141">
        <f t="shared" si="11"/>
        <v>18479558.157299999</v>
      </c>
      <c r="D24" s="140"/>
      <c r="E24" s="141">
        <f t="shared" si="12"/>
        <v>0</v>
      </c>
      <c r="F24" s="141">
        <f t="shared" si="13"/>
        <v>-76998.159</v>
      </c>
      <c r="G24" s="141">
        <f t="shared" si="14"/>
        <v>76998.159</v>
      </c>
      <c r="H24" s="141">
        <f t="shared" si="15"/>
        <v>18556556.316300001</v>
      </c>
      <c r="I24" s="288">
        <f t="shared" si="3"/>
        <v>-18556556</v>
      </c>
      <c r="J24" s="121">
        <f t="shared" si="16"/>
        <v>8</v>
      </c>
      <c r="K24" s="122">
        <f ca="1">ROUND('Itemized Costs-HIDDEN'!M12,0)</f>
        <v>1710247</v>
      </c>
      <c r="L24" s="122">
        <f>'Sch3-Perf Period Cash Flow'!$K$21</f>
        <v>147252</v>
      </c>
      <c r="M24" s="122">
        <f t="shared" ca="1" si="4"/>
        <v>1562994</v>
      </c>
      <c r="N24" s="122">
        <f ca="1">ROUND(SUM(INDIRECT(S24):INDIRECT(T24)),0)</f>
        <v>865618</v>
      </c>
      <c r="O24" s="122">
        <f ca="1">IF(N24=0,0,ROUND(SUM(INDIRECT(U24):INDIRECT(V24)),0))</f>
        <v>697376</v>
      </c>
      <c r="P24" s="123">
        <f t="shared" ca="1" si="5"/>
        <v>8</v>
      </c>
      <c r="Q24" s="1">
        <f t="shared" si="17"/>
        <v>102</v>
      </c>
      <c r="R24" s="1">
        <f t="shared" si="0"/>
        <v>113</v>
      </c>
      <c r="S24" s="1" t="str">
        <f t="shared" si="6"/>
        <v>f102</v>
      </c>
      <c r="T24" s="1" t="str">
        <f t="shared" si="7"/>
        <v>f113</v>
      </c>
      <c r="U24" s="1" t="str">
        <f t="shared" si="8"/>
        <v>G102</v>
      </c>
      <c r="V24" s="1" t="str">
        <f t="shared" si="9"/>
        <v>G113</v>
      </c>
    </row>
    <row r="25" spans="1:22">
      <c r="A25" s="140">
        <f t="shared" si="10"/>
        <v>8</v>
      </c>
      <c r="B25" s="142">
        <f t="shared" si="18"/>
        <v>46508</v>
      </c>
      <c r="C25" s="141">
        <f t="shared" si="11"/>
        <v>18556556.316300001</v>
      </c>
      <c r="D25" s="140"/>
      <c r="E25" s="141">
        <f t="shared" si="12"/>
        <v>0</v>
      </c>
      <c r="F25" s="141">
        <f t="shared" si="13"/>
        <v>-77318.985000000001</v>
      </c>
      <c r="G25" s="141">
        <f t="shared" si="14"/>
        <v>77318.985000000001</v>
      </c>
      <c r="H25" s="141">
        <f t="shared" si="15"/>
        <v>18633875.3013</v>
      </c>
      <c r="I25" s="288">
        <f t="shared" si="3"/>
        <v>-18633875</v>
      </c>
      <c r="J25" s="121">
        <f t="shared" si="16"/>
        <v>9</v>
      </c>
      <c r="K25" s="122">
        <f ca="1">ROUND('Itemized Costs-HIDDEN'!M13,0)</f>
        <v>1745710</v>
      </c>
      <c r="L25" s="122">
        <f>'Sch3-Perf Period Cash Flow'!$L$21</f>
        <v>150639</v>
      </c>
      <c r="M25" s="122">
        <f t="shared" ca="1" si="4"/>
        <v>1595070</v>
      </c>
      <c r="N25" s="122">
        <f ca="1">ROUND(SUM(INDIRECT(S25):INDIRECT(T25)),0)</f>
        <v>942114</v>
      </c>
      <c r="O25" s="122">
        <f ca="1">IF(N25=0,0,ROUND(SUM(INDIRECT(U25):INDIRECT(V25)),0))</f>
        <v>652956</v>
      </c>
      <c r="P25" s="123">
        <f t="shared" ca="1" si="5"/>
        <v>9</v>
      </c>
      <c r="Q25" s="1">
        <f t="shared" si="17"/>
        <v>114</v>
      </c>
      <c r="R25" s="1">
        <f t="shared" si="0"/>
        <v>125</v>
      </c>
      <c r="S25" s="1" t="str">
        <f t="shared" si="6"/>
        <v>f114</v>
      </c>
      <c r="T25" s="1" t="str">
        <f t="shared" si="7"/>
        <v>f125</v>
      </c>
      <c r="U25" s="1" t="str">
        <f t="shared" si="8"/>
        <v>G114</v>
      </c>
      <c r="V25" s="1" t="str">
        <f t="shared" si="9"/>
        <v>G125</v>
      </c>
    </row>
    <row r="26" spans="1:22">
      <c r="A26" s="140">
        <f t="shared" si="10"/>
        <v>9</v>
      </c>
      <c r="B26" s="142">
        <f t="shared" si="18"/>
        <v>46539</v>
      </c>
      <c r="C26" s="141">
        <f t="shared" si="11"/>
        <v>18633875.3013</v>
      </c>
      <c r="D26" s="140"/>
      <c r="E26" s="141">
        <f t="shared" si="12"/>
        <v>0</v>
      </c>
      <c r="F26" s="141">
        <f t="shared" si="13"/>
        <v>-77641.146999999997</v>
      </c>
      <c r="G26" s="141">
        <f t="shared" si="14"/>
        <v>77641.146999999997</v>
      </c>
      <c r="H26" s="141">
        <f t="shared" si="15"/>
        <v>18711516.4483</v>
      </c>
      <c r="I26" s="288">
        <f t="shared" si="3"/>
        <v>-18711516</v>
      </c>
      <c r="J26" s="121">
        <f t="shared" si="16"/>
        <v>10</v>
      </c>
      <c r="K26" s="122">
        <f ca="1">ROUND('Itemized Costs-HIDDEN'!M14,0)</f>
        <v>1782086</v>
      </c>
      <c r="L26" s="122">
        <f>'Sch3-Perf Period Cash Flow'!$M$21</f>
        <v>154103</v>
      </c>
      <c r="M26" s="122">
        <f t="shared" ca="1" si="4"/>
        <v>1627982</v>
      </c>
      <c r="N26" s="122">
        <f ca="1">ROUND(SUM(INDIRECT(S26):INDIRECT(T26)),0)</f>
        <v>1023364</v>
      </c>
      <c r="O26" s="122">
        <f ca="1">IF(N26=0,0,ROUND(SUM(INDIRECT(U26):INDIRECT(V26)),0))</f>
        <v>604618</v>
      </c>
      <c r="P26" s="123">
        <f t="shared" ca="1" si="5"/>
        <v>10</v>
      </c>
      <c r="Q26" s="1">
        <f t="shared" si="17"/>
        <v>126</v>
      </c>
      <c r="R26" s="1">
        <f t="shared" si="0"/>
        <v>137</v>
      </c>
      <c r="S26" s="1" t="str">
        <f t="shared" si="6"/>
        <v>f126</v>
      </c>
      <c r="T26" s="1" t="str">
        <f t="shared" si="7"/>
        <v>f137</v>
      </c>
      <c r="U26" s="1" t="str">
        <f t="shared" si="8"/>
        <v>G126</v>
      </c>
      <c r="V26" s="1" t="str">
        <f t="shared" si="9"/>
        <v>G137</v>
      </c>
    </row>
    <row r="27" spans="1:22">
      <c r="A27" s="140">
        <f t="shared" si="10"/>
        <v>10</v>
      </c>
      <c r="B27" s="142">
        <f t="shared" si="18"/>
        <v>46569</v>
      </c>
      <c r="C27" s="141">
        <f t="shared" si="11"/>
        <v>18711516.4483</v>
      </c>
      <c r="D27" s="140"/>
      <c r="E27" s="141">
        <f t="shared" si="12"/>
        <v>0</v>
      </c>
      <c r="F27" s="141">
        <f t="shared" si="13"/>
        <v>-77964.652000000002</v>
      </c>
      <c r="G27" s="141">
        <f t="shared" si="14"/>
        <v>77964.652000000002</v>
      </c>
      <c r="H27" s="141">
        <f t="shared" si="15"/>
        <v>18789481.100299999</v>
      </c>
      <c r="I27" s="288">
        <f t="shared" si="3"/>
        <v>-18789481</v>
      </c>
      <c r="J27" s="121">
        <f t="shared" si="16"/>
        <v>11</v>
      </c>
      <c r="K27" s="122">
        <f ca="1">ROUND('Itemized Costs-HIDDEN'!M15,0)</f>
        <v>1819402</v>
      </c>
      <c r="L27" s="122">
        <f>'Sch3-Perf Period Cash Flow'!$N$21</f>
        <v>157647</v>
      </c>
      <c r="M27" s="122">
        <f t="shared" ca="1" si="4"/>
        <v>1661754</v>
      </c>
      <c r="N27" s="122">
        <f ca="1">ROUND(SUM(INDIRECT(S27):INDIRECT(T27)),0)</f>
        <v>1109634</v>
      </c>
      <c r="O27" s="122">
        <f ca="1">IF(N27=0,0,ROUND(SUM(INDIRECT(U27):INDIRECT(V27)),0))</f>
        <v>552120</v>
      </c>
      <c r="P27" s="123">
        <f t="shared" ca="1" si="5"/>
        <v>11</v>
      </c>
      <c r="Q27" s="1">
        <f t="shared" si="17"/>
        <v>138</v>
      </c>
      <c r="R27" s="1">
        <f t="shared" si="0"/>
        <v>149</v>
      </c>
      <c r="S27" s="1" t="str">
        <f t="shared" si="6"/>
        <v>f138</v>
      </c>
      <c r="T27" s="1" t="str">
        <f t="shared" si="7"/>
        <v>f149</v>
      </c>
      <c r="U27" s="1" t="str">
        <f t="shared" si="8"/>
        <v>G138</v>
      </c>
      <c r="V27" s="1" t="str">
        <f t="shared" si="9"/>
        <v>G149</v>
      </c>
    </row>
    <row r="28" spans="1:22">
      <c r="A28" s="140">
        <f t="shared" si="10"/>
        <v>11</v>
      </c>
      <c r="B28" s="142">
        <f t="shared" si="18"/>
        <v>46600</v>
      </c>
      <c r="C28" s="141">
        <f t="shared" si="11"/>
        <v>18789481.100299999</v>
      </c>
      <c r="D28" s="140"/>
      <c r="E28" s="141">
        <f>IF($D$10=1,IF(MONTH(B28)=MONTH($D$7),D27-'Sch3-Perf Period Cash Flow'!D7,0),IF(MONTH(B28)=MONTH(EDATE($D$7,11)),IF(AND(H27&gt;D17,H27&lt;K17-L17), H27, MIN(D17,H27)-'Sch3-Perf Period Cash Flow'!D7),0))</f>
        <v>0</v>
      </c>
      <c r="F28" s="141">
        <f t="shared" si="13"/>
        <v>-78289.505000000005</v>
      </c>
      <c r="G28" s="141">
        <f t="shared" si="14"/>
        <v>78289.505000000005</v>
      </c>
      <c r="H28" s="141">
        <f>IF(E28="","",ROUND(H27-F28,4))</f>
        <v>18867770.605300002</v>
      </c>
      <c r="I28" s="288">
        <f t="shared" si="3"/>
        <v>-18867771</v>
      </c>
      <c r="J28" s="121">
        <f t="shared" si="16"/>
        <v>12</v>
      </c>
      <c r="K28" s="122">
        <f ca="1">ROUND('Itemized Costs-HIDDEN'!M16,0)</f>
        <v>1857687</v>
      </c>
      <c r="L28" s="122">
        <f>'Sch3-Perf Period Cash Flow'!$O$21</f>
        <v>161274</v>
      </c>
      <c r="M28" s="122">
        <f t="shared" ca="1" si="4"/>
        <v>1696412</v>
      </c>
      <c r="N28" s="122">
        <f ca="1">ROUND(SUM(INDIRECT(S28):INDIRECT(T28)),0)</f>
        <v>1201207</v>
      </c>
      <c r="O28" s="122">
        <f ca="1">IF(N28=0,0,ROUND(SUM(INDIRECT(U28):INDIRECT(V28)),0))</f>
        <v>495205</v>
      </c>
      <c r="P28" s="123">
        <f t="shared" ca="1" si="5"/>
        <v>12</v>
      </c>
      <c r="Q28" s="1">
        <f t="shared" si="17"/>
        <v>150</v>
      </c>
      <c r="R28" s="1">
        <f t="shared" si="0"/>
        <v>161</v>
      </c>
      <c r="S28" s="1" t="str">
        <f t="shared" si="6"/>
        <v>f150</v>
      </c>
      <c r="T28" s="1" t="str">
        <f t="shared" si="7"/>
        <v>f161</v>
      </c>
      <c r="U28" s="1" t="str">
        <f t="shared" si="8"/>
        <v>G150</v>
      </c>
      <c r="V28" s="1" t="str">
        <f t="shared" si="9"/>
        <v>G161</v>
      </c>
    </row>
    <row r="29" spans="1:22">
      <c r="A29" s="140">
        <f t="shared" si="10"/>
        <v>12</v>
      </c>
      <c r="B29" s="142">
        <f t="shared" si="18"/>
        <v>46631</v>
      </c>
      <c r="C29" s="141">
        <f t="shared" si="11"/>
        <v>18867770.605300002</v>
      </c>
      <c r="D29" s="141">
        <f ca="1">IF(H29&lt;0,0,IF((H28+G29)&lt;(K18-L18),H28+G29,K18-L18))</f>
        <v>1386718</v>
      </c>
      <c r="E29" s="141">
        <f ca="1">IF($D$10=1,IF(MONTH(B29)=MONTH($D$7),D28-'Sch3-Perf Period Cash Flow'!D7,0),IF(MONTH(B29)=MONTH(EDATE($D$7,11)),MIN(D17,H28)-'Sch3-Perf Period Cash Flow'!D7,0))</f>
        <v>1359828</v>
      </c>
      <c r="F29" s="141">
        <f ca="1">IF(E29="","",E29-G29)</f>
        <v>1286878.2390000001</v>
      </c>
      <c r="G29" s="141">
        <f ca="1">ROUND((C29-E29)*$D$5,3)</f>
        <v>72949.760999999999</v>
      </c>
      <c r="H29" s="141">
        <f ca="1">IF(E29="","",ROUND(H28-F29,4))</f>
        <v>17580892.366300002</v>
      </c>
      <c r="I29" s="288">
        <f t="shared" ca="1" si="3"/>
        <v>-16194174</v>
      </c>
      <c r="J29" s="121">
        <f t="shared" si="16"/>
        <v>13</v>
      </c>
      <c r="K29" s="122">
        <f ca="1">ROUND('Itemized Costs-HIDDEN'!M17,0)</f>
        <v>1896969</v>
      </c>
      <c r="L29" s="122">
        <f>'Sch3-Perf Period Cash Flow'!$P$21</f>
        <v>164983</v>
      </c>
      <c r="M29" s="122">
        <f t="shared" ca="1" si="4"/>
        <v>1731985</v>
      </c>
      <c r="N29" s="122">
        <f ca="1">ROUND(SUM(INDIRECT(S29):INDIRECT(T29)),0)</f>
        <v>1298385</v>
      </c>
      <c r="O29" s="122">
        <f ca="1">IF(N29=0,0,ROUND(SUM(INDIRECT(U29):INDIRECT(V29)),0))</f>
        <v>433600</v>
      </c>
      <c r="P29" s="123">
        <f t="shared" ca="1" si="5"/>
        <v>13</v>
      </c>
      <c r="Q29" s="1">
        <f t="shared" si="17"/>
        <v>162</v>
      </c>
      <c r="R29" s="1">
        <f t="shared" si="0"/>
        <v>173</v>
      </c>
      <c r="S29" s="1" t="str">
        <f t="shared" si="6"/>
        <v>f162</v>
      </c>
      <c r="T29" s="1" t="str">
        <f t="shared" si="7"/>
        <v>f173</v>
      </c>
      <c r="U29" s="1" t="str">
        <f t="shared" si="8"/>
        <v>G162</v>
      </c>
      <c r="V29" s="1" t="str">
        <f t="shared" si="9"/>
        <v>G173</v>
      </c>
    </row>
    <row r="30" spans="1:22">
      <c r="A30" s="140">
        <f t="shared" si="10"/>
        <v>13</v>
      </c>
      <c r="B30" s="142">
        <f t="shared" si="18"/>
        <v>46661</v>
      </c>
      <c r="C30" s="141">
        <f t="shared" ca="1" si="11"/>
        <v>17580892.366300002</v>
      </c>
      <c r="D30" s="140"/>
      <c r="E30" s="141">
        <f>IF($D$10=1,IF(MONTH(B30)=MONTH($D$7),D29-'Sch3-Perf Period Cash Flow'!E7,0),IF(MONTH(B30)=MONTH(EDATE($D$7,11)),MIN(D17,H29)-'Sch3-Perf Period Cash Flow'!E7,0))</f>
        <v>0</v>
      </c>
      <c r="F30" s="141">
        <f t="shared" ca="1" si="13"/>
        <v>-73253.717999999993</v>
      </c>
      <c r="G30" s="141">
        <f t="shared" ca="1" si="14"/>
        <v>73253.717999999993</v>
      </c>
      <c r="H30" s="141">
        <f t="shared" ca="1" si="15"/>
        <v>17654146.0843</v>
      </c>
      <c r="I30" s="288">
        <f t="shared" ca="1" si="3"/>
        <v>-17654146</v>
      </c>
      <c r="J30" s="121">
        <f t="shared" si="16"/>
        <v>14</v>
      </c>
      <c r="K30" s="122">
        <f ca="1">ROUND('Itemized Costs-HIDDEN'!M18,0)</f>
        <v>1937281</v>
      </c>
      <c r="L30" s="122">
        <f>'Sch3-Perf Period Cash Flow'!$Q$21</f>
        <v>168778</v>
      </c>
      <c r="M30" s="122">
        <f t="shared" ca="1" si="4"/>
        <v>1768502</v>
      </c>
      <c r="N30" s="122">
        <f ca="1">ROUND(SUM(INDIRECT(S30):INDIRECT(T30)),0)</f>
        <v>1401481</v>
      </c>
      <c r="O30" s="122">
        <f ca="1">IF(N30=0,0,ROUND(SUM(INDIRECT(U30):INDIRECT(V30)),0))</f>
        <v>367021</v>
      </c>
      <c r="P30" s="123">
        <f t="shared" ca="1" si="5"/>
        <v>14</v>
      </c>
      <c r="Q30" s="1">
        <f t="shared" si="17"/>
        <v>174</v>
      </c>
      <c r="R30" s="1">
        <f t="shared" si="0"/>
        <v>185</v>
      </c>
      <c r="S30" s="1" t="str">
        <f t="shared" si="6"/>
        <v>f174</v>
      </c>
      <c r="T30" s="1" t="str">
        <f t="shared" si="7"/>
        <v>f185</v>
      </c>
      <c r="U30" s="1" t="str">
        <f t="shared" si="8"/>
        <v>G174</v>
      </c>
      <c r="V30" s="1" t="str">
        <f t="shared" si="9"/>
        <v>G185</v>
      </c>
    </row>
    <row r="31" spans="1:22">
      <c r="A31" s="140">
        <f t="shared" si="10"/>
        <v>14</v>
      </c>
      <c r="B31" s="142">
        <f t="shared" si="18"/>
        <v>46692</v>
      </c>
      <c r="C31" s="141">
        <f t="shared" ca="1" si="11"/>
        <v>17654146.0843</v>
      </c>
      <c r="D31" s="140"/>
      <c r="E31" s="141">
        <f t="shared" si="12"/>
        <v>0</v>
      </c>
      <c r="F31" s="141">
        <f t="shared" ca="1" si="13"/>
        <v>-73558.941999999995</v>
      </c>
      <c r="G31" s="141">
        <f t="shared" ca="1" si="14"/>
        <v>73558.941999999995</v>
      </c>
      <c r="H31" s="141">
        <f t="shared" ca="1" si="15"/>
        <v>17727705.026299998</v>
      </c>
      <c r="I31" s="288">
        <f t="shared" ca="1" si="3"/>
        <v>-17727705</v>
      </c>
      <c r="J31" s="121">
        <f t="shared" si="16"/>
        <v>15</v>
      </c>
      <c r="K31" s="122">
        <f ca="1">ROUND('Itemized Costs-HIDDEN'!M19,0)</f>
        <v>1978653</v>
      </c>
      <c r="L31" s="122">
        <f>'Sch3-Perf Period Cash Flow'!$R$21</f>
        <v>172659</v>
      </c>
      <c r="M31" s="122">
        <f t="shared" ca="1" si="4"/>
        <v>1805993</v>
      </c>
      <c r="N31" s="122">
        <f ca="1">ROUND(SUM(INDIRECT(S31):INDIRECT(T31)),0)</f>
        <v>1510831</v>
      </c>
      <c r="O31" s="122">
        <f ca="1">IF(N31=0,0,ROUND(SUM(INDIRECT(U31):INDIRECT(V31)),0))</f>
        <v>295162</v>
      </c>
      <c r="P31" s="123">
        <f t="shared" ca="1" si="5"/>
        <v>15</v>
      </c>
      <c r="Q31" s="1">
        <f t="shared" si="17"/>
        <v>186</v>
      </c>
      <c r="R31" s="1">
        <f t="shared" si="0"/>
        <v>197</v>
      </c>
      <c r="S31" s="1" t="str">
        <f t="shared" si="6"/>
        <v>f186</v>
      </c>
      <c r="T31" s="1" t="str">
        <f t="shared" si="7"/>
        <v>f197</v>
      </c>
      <c r="U31" s="1" t="str">
        <f t="shared" si="8"/>
        <v>G186</v>
      </c>
      <c r="V31" s="1" t="str">
        <f t="shared" si="9"/>
        <v>G197</v>
      </c>
    </row>
    <row r="32" spans="1:22">
      <c r="A32" s="140">
        <f t="shared" si="10"/>
        <v>15</v>
      </c>
      <c r="B32" s="142">
        <f t="shared" si="18"/>
        <v>46722</v>
      </c>
      <c r="C32" s="141">
        <f t="shared" ca="1" si="11"/>
        <v>17727705.026299998</v>
      </c>
      <c r="D32" s="140"/>
      <c r="E32" s="141">
        <f t="shared" si="12"/>
        <v>0</v>
      </c>
      <c r="F32" s="141">
        <f t="shared" ca="1" si="13"/>
        <v>-73865.437999999995</v>
      </c>
      <c r="G32" s="141">
        <f t="shared" ca="1" si="14"/>
        <v>73865.437999999995</v>
      </c>
      <c r="H32" s="141">
        <f t="shared" ca="1" si="15"/>
        <v>17801570.464299999</v>
      </c>
      <c r="I32" s="288">
        <f t="shared" ca="1" si="3"/>
        <v>-17801570</v>
      </c>
      <c r="J32" s="121">
        <f t="shared" si="16"/>
        <v>16</v>
      </c>
      <c r="K32" s="122">
        <f ca="1">ROUND('Itemized Costs-HIDDEN'!M20,0)</f>
        <v>2021117</v>
      </c>
      <c r="L32" s="122">
        <f>'Sch3-Perf Period Cash Flow'!$S$21</f>
        <v>176631</v>
      </c>
      <c r="M32" s="122">
        <f t="shared" ca="1" si="4"/>
        <v>1844485</v>
      </c>
      <c r="N32" s="122">
        <f ca="1">ROUND(SUM(INDIRECT(S32):INDIRECT(T32)),0)</f>
        <v>1626781</v>
      </c>
      <c r="O32" s="122">
        <f ca="1">IF(N32=0,0,ROUND(SUM(INDIRECT(U32):INDIRECT(V32)),0))</f>
        <v>217704</v>
      </c>
      <c r="P32" s="123">
        <f t="shared" ca="1" si="5"/>
        <v>16</v>
      </c>
      <c r="Q32" s="1">
        <f t="shared" si="17"/>
        <v>198</v>
      </c>
      <c r="R32" s="1">
        <f t="shared" si="0"/>
        <v>209</v>
      </c>
      <c r="S32" s="1" t="str">
        <f t="shared" si="6"/>
        <v>f198</v>
      </c>
      <c r="T32" s="1" t="str">
        <f t="shared" si="7"/>
        <v>f209</v>
      </c>
      <c r="U32" s="1" t="str">
        <f t="shared" si="8"/>
        <v>G198</v>
      </c>
      <c r="V32" s="1" t="str">
        <f t="shared" si="9"/>
        <v>G209</v>
      </c>
    </row>
    <row r="33" spans="1:22">
      <c r="A33" s="140">
        <f t="shared" si="10"/>
        <v>16</v>
      </c>
      <c r="B33" s="142">
        <f t="shared" si="18"/>
        <v>46753</v>
      </c>
      <c r="C33" s="141">
        <f t="shared" ca="1" si="11"/>
        <v>17801570.464299999</v>
      </c>
      <c r="D33" s="140"/>
      <c r="E33" s="141">
        <f t="shared" si="12"/>
        <v>0</v>
      </c>
      <c r="F33" s="141">
        <f t="shared" ca="1" si="13"/>
        <v>-74173.210000000006</v>
      </c>
      <c r="G33" s="141">
        <f t="shared" ca="1" si="14"/>
        <v>74173.210000000006</v>
      </c>
      <c r="H33" s="141">
        <f t="shared" ca="1" si="15"/>
        <v>17875743.6743</v>
      </c>
      <c r="I33" s="288">
        <f t="shared" ca="1" si="3"/>
        <v>-17875744</v>
      </c>
      <c r="J33" s="121">
        <f t="shared" si="16"/>
        <v>17</v>
      </c>
      <c r="K33" s="122">
        <f ca="1">ROUND('Itemized Costs-HIDDEN'!M21,0)</f>
        <v>2064708</v>
      </c>
      <c r="L33" s="122">
        <f>'Sch3-Perf Period Cash Flow'!$T$21</f>
        <v>180694</v>
      </c>
      <c r="M33" s="122">
        <f t="shared" ca="1" si="4"/>
        <v>1884013</v>
      </c>
      <c r="N33" s="122">
        <f ca="1">ROUND(SUM(INDIRECT(S33):INDIRECT(T33)),0)</f>
        <v>1749702</v>
      </c>
      <c r="O33" s="122">
        <f ca="1">IF(N33=0,0,ROUND(SUM(INDIRECT(U33):INDIRECT(V33)),0))</f>
        <v>134311</v>
      </c>
      <c r="P33" s="123">
        <f t="shared" ca="1" si="5"/>
        <v>17</v>
      </c>
      <c r="Q33" s="1">
        <f t="shared" si="17"/>
        <v>210</v>
      </c>
      <c r="R33" s="1">
        <f t="shared" si="0"/>
        <v>221</v>
      </c>
      <c r="S33" s="1" t="str">
        <f t="shared" si="6"/>
        <v>f210</v>
      </c>
      <c r="T33" s="1" t="str">
        <f t="shared" si="7"/>
        <v>f221</v>
      </c>
      <c r="U33" s="1" t="str">
        <f t="shared" si="8"/>
        <v>G210</v>
      </c>
      <c r="V33" s="1" t="str">
        <f t="shared" si="9"/>
        <v>G221</v>
      </c>
    </row>
    <row r="34" spans="1:22">
      <c r="A34" s="140">
        <f t="shared" si="10"/>
        <v>17</v>
      </c>
      <c r="B34" s="142">
        <f t="shared" si="18"/>
        <v>46784</v>
      </c>
      <c r="C34" s="141">
        <f t="shared" ca="1" si="11"/>
        <v>17875743.6743</v>
      </c>
      <c r="D34" s="140"/>
      <c r="E34" s="141">
        <f t="shared" si="12"/>
        <v>0</v>
      </c>
      <c r="F34" s="141">
        <f t="shared" ca="1" si="13"/>
        <v>-74482.264999999999</v>
      </c>
      <c r="G34" s="141">
        <f t="shared" ca="1" si="14"/>
        <v>74482.264999999999</v>
      </c>
      <c r="H34" s="141">
        <f t="shared" ca="1" si="15"/>
        <v>17950225.939300001</v>
      </c>
      <c r="I34" s="288">
        <f t="shared" ca="1" si="3"/>
        <v>-17950226</v>
      </c>
      <c r="J34" s="121">
        <f t="shared" si="16"/>
        <v>18</v>
      </c>
      <c r="K34" s="122">
        <f ca="1">ROUND('Itemized Costs-HIDDEN'!M22,0)</f>
        <v>2109460</v>
      </c>
      <c r="L34" s="122">
        <f>'Sch3-Perf Period Cash Flow'!$U$21</f>
        <v>184850</v>
      </c>
      <c r="M34" s="122">
        <f t="shared" ca="1" si="4"/>
        <v>1077095</v>
      </c>
      <c r="N34" s="122">
        <f ca="1">ROUND(SUM(INDIRECT(S34):INDIRECT(T34)),0)</f>
        <v>1028940</v>
      </c>
      <c r="O34" s="122">
        <f ca="1">IF(N34=0,0,ROUND(SUM(INDIRECT(U34):INDIRECT(V34)),0))</f>
        <v>48155</v>
      </c>
      <c r="P34" s="123">
        <f t="shared" ca="1" si="5"/>
        <v>18</v>
      </c>
      <c r="Q34" s="1">
        <f t="shared" si="17"/>
        <v>222</v>
      </c>
      <c r="R34" s="1">
        <f t="shared" si="0"/>
        <v>233</v>
      </c>
      <c r="S34" s="1" t="str">
        <f t="shared" si="6"/>
        <v>f222</v>
      </c>
      <c r="T34" s="1" t="str">
        <f t="shared" si="7"/>
        <v>f233</v>
      </c>
      <c r="U34" s="1" t="str">
        <f t="shared" si="8"/>
        <v>G222</v>
      </c>
      <c r="V34" s="1" t="str">
        <f t="shared" si="9"/>
        <v>G233</v>
      </c>
    </row>
    <row r="35" spans="1:22">
      <c r="A35" s="140">
        <f t="shared" si="10"/>
        <v>18</v>
      </c>
      <c r="B35" s="142">
        <f t="shared" si="18"/>
        <v>46813</v>
      </c>
      <c r="C35" s="141">
        <f t="shared" ca="1" si="11"/>
        <v>17950225.939300001</v>
      </c>
      <c r="D35" s="140"/>
      <c r="E35" s="141">
        <f t="shared" si="12"/>
        <v>0</v>
      </c>
      <c r="F35" s="141">
        <f t="shared" ca="1" si="13"/>
        <v>-74792.607999999993</v>
      </c>
      <c r="G35" s="141">
        <f t="shared" ca="1" si="14"/>
        <v>74792.607999999993</v>
      </c>
      <c r="H35" s="141">
        <f t="shared" ca="1" si="15"/>
        <v>18025018.5473</v>
      </c>
      <c r="I35" s="288">
        <f t="shared" ca="1" si="3"/>
        <v>-18025019</v>
      </c>
      <c r="J35" s="121">
        <f t="shared" si="16"/>
        <v>19</v>
      </c>
      <c r="K35" s="122">
        <f ca="1">ROUND('Itemized Costs-HIDDEN'!M23,0)</f>
        <v>2155409</v>
      </c>
      <c r="L35" s="122">
        <f>'Sch3-Perf Period Cash Flow'!$V$21</f>
        <v>189101</v>
      </c>
      <c r="M35" s="122">
        <f t="shared" ca="1" si="4"/>
        <v>0</v>
      </c>
      <c r="N35" s="122">
        <f ca="1">ROUND(SUM(INDIRECT(S35):INDIRECT(T35)),0)</f>
        <v>0</v>
      </c>
      <c r="O35" s="122">
        <f ca="1">IF(N35=0,0,ROUND(SUM(INDIRECT(U35):INDIRECT(V35)),0))</f>
        <v>0</v>
      </c>
      <c r="P35" s="123" t="str">
        <f t="shared" ca="1" si="5"/>
        <v/>
      </c>
      <c r="Q35" s="1">
        <f t="shared" si="17"/>
        <v>234</v>
      </c>
      <c r="R35" s="1">
        <f>Q35+11</f>
        <v>245</v>
      </c>
      <c r="S35" s="1" t="str">
        <f t="shared" si="6"/>
        <v>f234</v>
      </c>
      <c r="T35" s="1" t="str">
        <f t="shared" si="7"/>
        <v>f245</v>
      </c>
      <c r="U35" s="1" t="str">
        <f t="shared" si="8"/>
        <v>G234</v>
      </c>
      <c r="V35" s="1" t="str">
        <f t="shared" si="9"/>
        <v>G245</v>
      </c>
    </row>
    <row r="36" spans="1:22">
      <c r="A36" s="140">
        <f t="shared" si="10"/>
        <v>19</v>
      </c>
      <c r="B36" s="142">
        <f t="shared" si="18"/>
        <v>46844</v>
      </c>
      <c r="C36" s="141">
        <f t="shared" ca="1" si="11"/>
        <v>18025018.5473</v>
      </c>
      <c r="D36" s="140"/>
      <c r="E36" s="141">
        <f t="shared" si="12"/>
        <v>0</v>
      </c>
      <c r="F36" s="141">
        <f t="shared" ca="1" si="13"/>
        <v>-75104.244000000006</v>
      </c>
      <c r="G36" s="141">
        <f t="shared" ca="1" si="14"/>
        <v>75104.244000000006</v>
      </c>
      <c r="H36" s="141">
        <f t="shared" ca="1" si="15"/>
        <v>18100122.791299999</v>
      </c>
      <c r="I36" s="288">
        <f t="shared" ca="1" si="3"/>
        <v>-18100123</v>
      </c>
      <c r="J36" s="121">
        <f t="shared" si="16"/>
        <v>20</v>
      </c>
      <c r="K36" s="122">
        <f ca="1">ROUND('Itemized Costs-HIDDEN'!M24,0)</f>
        <v>2202593</v>
      </c>
      <c r="L36" s="122">
        <f>'Sch3-Perf Period Cash Flow'!$W$21</f>
        <v>193450</v>
      </c>
      <c r="M36" s="122">
        <f t="shared" ca="1" si="4"/>
        <v>0</v>
      </c>
      <c r="N36" s="122">
        <f ca="1">ROUND(SUM(INDIRECT(S36):INDIRECT(T36)),0)</f>
        <v>0</v>
      </c>
      <c r="O36" s="122">
        <f ca="1">IF(N36=0,0,ROUND(SUM(INDIRECT(U36):INDIRECT(V36)),0))</f>
        <v>0</v>
      </c>
      <c r="P36" s="123" t="str">
        <f t="shared" ca="1" si="5"/>
        <v/>
      </c>
      <c r="Q36" s="1">
        <f t="shared" si="17"/>
        <v>246</v>
      </c>
      <c r="R36" s="1">
        <f t="shared" ref="R36:R56" si="19">Q36+11</f>
        <v>257</v>
      </c>
      <c r="S36" s="1" t="str">
        <f t="shared" si="6"/>
        <v>f246</v>
      </c>
      <c r="T36" s="1" t="str">
        <f t="shared" si="7"/>
        <v>f257</v>
      </c>
      <c r="U36" s="1" t="str">
        <f t="shared" si="8"/>
        <v>G246</v>
      </c>
      <c r="V36" s="1" t="str">
        <f t="shared" si="9"/>
        <v>G257</v>
      </c>
    </row>
    <row r="37" spans="1:22">
      <c r="A37" s="140">
        <f t="shared" si="10"/>
        <v>20</v>
      </c>
      <c r="B37" s="142">
        <f t="shared" si="18"/>
        <v>46874</v>
      </c>
      <c r="C37" s="141">
        <f t="shared" ca="1" si="11"/>
        <v>18100122.791299999</v>
      </c>
      <c r="D37" s="140"/>
      <c r="E37" s="141">
        <f t="shared" si="12"/>
        <v>0</v>
      </c>
      <c r="F37" s="141">
        <f t="shared" ca="1" si="13"/>
        <v>-75417.178</v>
      </c>
      <c r="G37" s="141">
        <f t="shared" ca="1" si="14"/>
        <v>75417.178</v>
      </c>
      <c r="H37" s="141">
        <f t="shared" ca="1" si="15"/>
        <v>18175539.969300002</v>
      </c>
      <c r="I37" s="288">
        <f t="shared" ca="1" si="3"/>
        <v>-18175540</v>
      </c>
      <c r="J37" s="121">
        <f t="shared" si="16"/>
        <v>21</v>
      </c>
      <c r="K37" s="122">
        <f ca="1">ROUND('Itemized Costs-HIDDEN'!M25,0)</f>
        <v>2251049</v>
      </c>
      <c r="L37" s="122">
        <f>'Sch3-Perf Period Cash Flow'!$X$21</f>
        <v>197900</v>
      </c>
      <c r="M37" s="122">
        <f t="shared" ca="1" si="4"/>
        <v>0</v>
      </c>
      <c r="N37" s="122">
        <f ca="1">ROUND(SUM(INDIRECT(S37):INDIRECT(T37)),0)</f>
        <v>0</v>
      </c>
      <c r="O37" s="122">
        <f ca="1">IF(N37=0,0,ROUND(SUM(INDIRECT(U37):INDIRECT(V37)),0))</f>
        <v>0</v>
      </c>
      <c r="P37" s="123" t="str">
        <f t="shared" ca="1" si="5"/>
        <v/>
      </c>
      <c r="Q37" s="1">
        <f t="shared" si="17"/>
        <v>258</v>
      </c>
      <c r="R37" s="1">
        <f t="shared" si="19"/>
        <v>269</v>
      </c>
      <c r="S37" s="1" t="str">
        <f t="shared" si="6"/>
        <v>f258</v>
      </c>
      <c r="T37" s="1" t="str">
        <f t="shared" si="7"/>
        <v>f269</v>
      </c>
      <c r="U37" s="1" t="str">
        <f t="shared" ref="U37:U40" si="20">CONCATENATE("G",Q37)</f>
        <v>G258</v>
      </c>
      <c r="V37" s="1" t="str">
        <f t="shared" ref="V37:V40" si="21">CONCATENATE("G",R37)</f>
        <v>G269</v>
      </c>
    </row>
    <row r="38" spans="1:22">
      <c r="A38" s="140">
        <f t="shared" si="10"/>
        <v>21</v>
      </c>
      <c r="B38" s="142">
        <f t="shared" si="18"/>
        <v>46905</v>
      </c>
      <c r="C38" s="141">
        <f t="shared" ca="1" si="11"/>
        <v>18175539.969300002</v>
      </c>
      <c r="D38" s="140"/>
      <c r="E38" s="141">
        <f t="shared" si="12"/>
        <v>0</v>
      </c>
      <c r="F38" s="141">
        <f t="shared" ca="1" si="13"/>
        <v>-75731.417000000001</v>
      </c>
      <c r="G38" s="141">
        <f t="shared" ca="1" si="14"/>
        <v>75731.417000000001</v>
      </c>
      <c r="H38" s="141">
        <f t="shared" ca="1" si="15"/>
        <v>18251271.386300001</v>
      </c>
      <c r="I38" s="288">
        <f t="shared" ca="1" si="3"/>
        <v>-18251271</v>
      </c>
      <c r="J38" s="121">
        <f t="shared" si="16"/>
        <v>22</v>
      </c>
      <c r="K38" s="122">
        <f ca="1">ROUND('Itemized Costs-HIDDEN'!M26,0)</f>
        <v>2300818</v>
      </c>
      <c r="L38" s="122">
        <f>'Sch3-Perf Period Cash Flow'!$Y$21</f>
        <v>202451</v>
      </c>
      <c r="M38" s="122">
        <f t="shared" ca="1" si="4"/>
        <v>0</v>
      </c>
      <c r="N38" s="122">
        <f ca="1">ROUND(SUM(INDIRECT(S38):INDIRECT(T38)),0)</f>
        <v>0</v>
      </c>
      <c r="O38" s="122">
        <f ca="1">IF(N38=0,0,ROUND(SUM(INDIRECT(U38):INDIRECT(V38)),0))</f>
        <v>0</v>
      </c>
      <c r="P38" s="123" t="str">
        <f t="shared" ca="1" si="5"/>
        <v/>
      </c>
      <c r="Q38" s="1">
        <f t="shared" si="17"/>
        <v>270</v>
      </c>
      <c r="R38" s="1">
        <f t="shared" si="19"/>
        <v>281</v>
      </c>
      <c r="S38" s="1" t="str">
        <f t="shared" si="6"/>
        <v>f270</v>
      </c>
      <c r="T38" s="1" t="str">
        <f t="shared" si="7"/>
        <v>f281</v>
      </c>
      <c r="U38" s="1" t="str">
        <f t="shared" si="20"/>
        <v>G270</v>
      </c>
      <c r="V38" s="1" t="str">
        <f t="shared" si="21"/>
        <v>G281</v>
      </c>
    </row>
    <row r="39" spans="1:22">
      <c r="A39" s="140">
        <f t="shared" si="10"/>
        <v>22</v>
      </c>
      <c r="B39" s="142">
        <f t="shared" si="18"/>
        <v>46935</v>
      </c>
      <c r="C39" s="141">
        <f t="shared" ca="1" si="11"/>
        <v>18251271.386300001</v>
      </c>
      <c r="D39" s="140"/>
      <c r="E39" s="141">
        <f t="shared" si="12"/>
        <v>0</v>
      </c>
      <c r="F39" s="141">
        <f t="shared" ca="1" si="13"/>
        <v>-76046.964000000007</v>
      </c>
      <c r="G39" s="141">
        <f t="shared" ca="1" si="14"/>
        <v>76046.964000000007</v>
      </c>
      <c r="H39" s="141">
        <f t="shared" ca="1" si="15"/>
        <v>18327318.350299999</v>
      </c>
      <c r="I39" s="288">
        <f t="shared" ca="1" si="3"/>
        <v>-18327318</v>
      </c>
      <c r="J39" s="121">
        <f t="shared" si="16"/>
        <v>23</v>
      </c>
      <c r="K39" s="122">
        <f ca="1">ROUND('Itemized Costs-HIDDEN'!M27,0)</f>
        <v>2351941</v>
      </c>
      <c r="L39" s="122">
        <f>'Sch3-Perf Period Cash Flow'!$Z$21</f>
        <v>207108</v>
      </c>
      <c r="M39" s="122">
        <f ca="1">N39+O39</f>
        <v>0</v>
      </c>
      <c r="N39" s="122">
        <f ca="1">ROUND(SUM(INDIRECT(S39):INDIRECT(T39)),0)</f>
        <v>0</v>
      </c>
      <c r="O39" s="122">
        <f ca="1">IF(N39=0,0,ROUND(SUM(INDIRECT(U39):INDIRECT(V39)),0))</f>
        <v>0</v>
      </c>
      <c r="P39" s="123" t="str">
        <f t="shared" ca="1" si="5"/>
        <v/>
      </c>
      <c r="Q39" s="1">
        <f t="shared" si="17"/>
        <v>282</v>
      </c>
      <c r="R39" s="1">
        <f t="shared" si="19"/>
        <v>293</v>
      </c>
      <c r="S39" s="1" t="str">
        <f t="shared" si="6"/>
        <v>f282</v>
      </c>
      <c r="T39" s="1" t="str">
        <f t="shared" si="7"/>
        <v>f293</v>
      </c>
      <c r="U39" s="1" t="str">
        <f t="shared" si="20"/>
        <v>G282</v>
      </c>
      <c r="V39" s="1" t="str">
        <f t="shared" si="21"/>
        <v>G293</v>
      </c>
    </row>
    <row r="40" spans="1:22">
      <c r="A40" s="140">
        <f t="shared" si="10"/>
        <v>23</v>
      </c>
      <c r="B40" s="142">
        <f t="shared" si="18"/>
        <v>46966</v>
      </c>
      <c r="C40" s="141">
        <f t="shared" ca="1" si="11"/>
        <v>18327318.350299999</v>
      </c>
      <c r="D40" s="140"/>
      <c r="E40" s="141">
        <f>IF($D$10=1,IF(MONTH(B40)=MONTH($D$7),D39-'Sch3-Perf Period Cash Flow'!E7,0),IF(MONTH(B40)=MONTH(EDATE($D$7,11)),IF(AND(H39&gt;D29,H39&lt;K18-L18), H39, MIN(D29,H39))-'Sch3-Perf Period Cash Flow'!E7,0))</f>
        <v>0</v>
      </c>
      <c r="F40" s="141">
        <f t="shared" ca="1" si="13"/>
        <v>-76363.826000000001</v>
      </c>
      <c r="G40" s="141">
        <f t="shared" ca="1" si="14"/>
        <v>76363.826000000001</v>
      </c>
      <c r="H40" s="141">
        <f t="shared" ca="1" si="15"/>
        <v>18403682.1763</v>
      </c>
      <c r="I40" s="288">
        <f t="shared" ca="1" si="3"/>
        <v>-18403682</v>
      </c>
      <c r="J40" s="121">
        <f t="shared" si="16"/>
        <v>24</v>
      </c>
      <c r="K40" s="122">
        <f ca="1">ROUND('Itemized Costs-HIDDEN'!M28,0)</f>
        <v>2404460</v>
      </c>
      <c r="L40" s="122">
        <f>'Sch3-Perf Period Cash Flow'!$AA$21</f>
        <v>211871</v>
      </c>
      <c r="M40" s="122">
        <f t="shared" ca="1" si="4"/>
        <v>0</v>
      </c>
      <c r="N40" s="122">
        <f ca="1">ROUND(SUM(INDIRECT(S40):INDIRECT(T40)),0)</f>
        <v>0</v>
      </c>
      <c r="O40" s="122">
        <f ca="1">IF(N40=0,0,ROUND(SUM(INDIRECT(U40):INDIRECT(V40)),0))</f>
        <v>0</v>
      </c>
      <c r="P40" s="123" t="str">
        <f t="shared" ca="1" si="5"/>
        <v/>
      </c>
      <c r="Q40" s="1">
        <f t="shared" si="17"/>
        <v>294</v>
      </c>
      <c r="R40" s="1">
        <f t="shared" si="19"/>
        <v>305</v>
      </c>
      <c r="S40" s="1" t="str">
        <f t="shared" si="6"/>
        <v>f294</v>
      </c>
      <c r="T40" s="1" t="str">
        <f t="shared" si="7"/>
        <v>f305</v>
      </c>
      <c r="U40" s="1" t="str">
        <f t="shared" si="20"/>
        <v>G294</v>
      </c>
      <c r="V40" s="1" t="str">
        <f t="shared" si="21"/>
        <v>G305</v>
      </c>
    </row>
    <row r="41" spans="1:22">
      <c r="A41" s="140">
        <f t="shared" si="10"/>
        <v>24</v>
      </c>
      <c r="B41" s="142">
        <f t="shared" si="18"/>
        <v>46997</v>
      </c>
      <c r="C41" s="141">
        <f t="shared" ca="1" si="11"/>
        <v>18403682.1763</v>
      </c>
      <c r="D41" s="141">
        <f ca="1">IF(H41&lt;0,0,IF((H40+G41)&lt;(K19-L19),H40+G41,K19-L19))</f>
        <v>1414284</v>
      </c>
      <c r="E41" s="141">
        <f ca="1">IF($D$10=1,IF(MONTH(B41)=MONTH($D$7),D40-'Sch3-Perf Period Cash Flow'!E7,0),IF(MONTH(B41)=MONTH(EDATE($D$7,11)),MIN(D29,H40)-'Sch3-Perf Period Cash Flow'!E7,0))</f>
        <v>1386717</v>
      </c>
      <c r="F41" s="141">
        <f t="shared" ca="1" si="13"/>
        <v>1315812.9780000001</v>
      </c>
      <c r="G41" s="141">
        <f t="shared" ca="1" si="14"/>
        <v>70904.021999999997</v>
      </c>
      <c r="H41" s="141">
        <f t="shared" ca="1" si="15"/>
        <v>17087869.1983</v>
      </c>
      <c r="I41" s="288">
        <f t="shared" ca="1" si="3"/>
        <v>-15673585</v>
      </c>
      <c r="J41" s="121">
        <f t="shared" si="16"/>
        <v>25</v>
      </c>
      <c r="K41" s="122">
        <f ca="1">ROUND('Itemized Costs-HIDDEN'!M29,0)</f>
        <v>2458419</v>
      </c>
      <c r="L41" s="122">
        <f>'Sch3-Perf Period Cash Flow'!$AB$21</f>
        <v>216744</v>
      </c>
      <c r="M41" s="122">
        <f ca="1">N41+O41</f>
        <v>0</v>
      </c>
      <c r="N41" s="122">
        <f ca="1">ROUND(SUM(INDIRECT(S41):INDIRECT(T41)),0)</f>
        <v>0</v>
      </c>
      <c r="O41" s="122">
        <f ca="1">IF(N41=0,0,ROUND(SUM(INDIRECT(U41):INDIRECT(V41)),0))</f>
        <v>0</v>
      </c>
      <c r="P41" s="123" t="str">
        <f t="shared" ca="1" si="5"/>
        <v/>
      </c>
      <c r="Q41" s="1">
        <f t="shared" si="17"/>
        <v>306</v>
      </c>
      <c r="R41" s="1">
        <f t="shared" si="19"/>
        <v>317</v>
      </c>
      <c r="S41" s="1" t="str">
        <f t="shared" si="6"/>
        <v>f306</v>
      </c>
      <c r="T41" s="1" t="str">
        <f t="shared" si="7"/>
        <v>f317</v>
      </c>
      <c r="U41" s="1" t="str">
        <f>CONCATENATE("G",Q41)</f>
        <v>G306</v>
      </c>
      <c r="V41" s="1" t="str">
        <f>CONCATENATE("G",R41)</f>
        <v>G317</v>
      </c>
    </row>
    <row r="42" spans="1:22">
      <c r="A42" s="140">
        <f t="shared" si="10"/>
        <v>25</v>
      </c>
      <c r="B42" s="142">
        <f t="shared" si="18"/>
        <v>47027</v>
      </c>
      <c r="C42" s="141">
        <f t="shared" ca="1" si="11"/>
        <v>17087869.1983</v>
      </c>
      <c r="D42" s="141"/>
      <c r="E42" s="141">
        <f>IF($D$10=1,IF(MONTH(B42)=MONTH($D$7),D41-'Sch3-Perf Period Cash Flow'!F7,0),IF(MONTH(B42)=MONTH(EDATE($D$7,11)),MIN(D30,H41)-'Sch3-Perf Period Cash Flow'!F7,0))</f>
        <v>0</v>
      </c>
      <c r="F42" s="141">
        <f t="shared" ca="1" si="13"/>
        <v>-71199.455000000002</v>
      </c>
      <c r="G42" s="141">
        <f t="shared" ca="1" si="14"/>
        <v>71199.455000000002</v>
      </c>
      <c r="H42" s="141">
        <f t="shared" ca="1" si="15"/>
        <v>17159068.653299998</v>
      </c>
      <c r="I42" s="288">
        <f t="shared" ca="1" si="3"/>
        <v>-17159069</v>
      </c>
      <c r="J42" s="121">
        <f t="shared" si="16"/>
        <v>26</v>
      </c>
      <c r="K42" s="122">
        <f ca="1">ROUND('Itemized Costs-HIDDEN'!M30,0)</f>
        <v>2458419</v>
      </c>
      <c r="L42" s="122">
        <f>'Sch3-Perf Period Cash Flow'!$AB$21</f>
        <v>216744</v>
      </c>
      <c r="M42" s="122">
        <f ca="1">N42+O42</f>
        <v>0</v>
      </c>
      <c r="N42" s="122">
        <f ca="1">ROUND(SUM(INDIRECT(S42):INDIRECT(T42)),0)</f>
        <v>0</v>
      </c>
      <c r="O42" s="122">
        <f ca="1">IF(N42=0,0,ROUND(SUM(INDIRECT(U42):INDIRECT(V42)),0))</f>
        <v>0</v>
      </c>
      <c r="P42" s="123" t="str">
        <f t="shared" ca="1" si="5"/>
        <v/>
      </c>
      <c r="Q42" s="1">
        <f t="shared" si="17"/>
        <v>318</v>
      </c>
      <c r="R42" s="1">
        <f t="shared" si="19"/>
        <v>329</v>
      </c>
      <c r="S42" s="1" t="str">
        <f t="shared" si="6"/>
        <v>f318</v>
      </c>
      <c r="T42" s="1" t="str">
        <f t="shared" si="7"/>
        <v>f329</v>
      </c>
      <c r="U42" s="1" t="str">
        <f>CONCATENATE("G",Q42)</f>
        <v>G318</v>
      </c>
      <c r="V42" s="1" t="str">
        <f>CONCATENATE("G",R42)</f>
        <v>G329</v>
      </c>
    </row>
    <row r="43" spans="1:22">
      <c r="A43" s="140">
        <f t="shared" si="10"/>
        <v>26</v>
      </c>
      <c r="B43" s="142">
        <f t="shared" si="18"/>
        <v>47058</v>
      </c>
      <c r="C43" s="141">
        <f t="shared" ca="1" si="11"/>
        <v>17159068.653299998</v>
      </c>
      <c r="D43" s="140"/>
      <c r="E43" s="141">
        <f t="shared" si="12"/>
        <v>0</v>
      </c>
      <c r="F43" s="141">
        <f t="shared" ca="1" si="13"/>
        <v>-71496.119000000006</v>
      </c>
      <c r="G43" s="141">
        <f t="shared" ca="1" si="14"/>
        <v>71496.119000000006</v>
      </c>
      <c r="H43" s="141">
        <f t="shared" ca="1" si="15"/>
        <v>17230564.772300001</v>
      </c>
      <c r="I43" s="288">
        <f t="shared" ca="1" si="3"/>
        <v>-17230565</v>
      </c>
      <c r="J43" s="121">
        <f t="shared" si="16"/>
        <v>27</v>
      </c>
      <c r="K43" s="122">
        <f ca="1">ROUND('Itemized Costs-HIDDEN'!M31,0)</f>
        <v>2458419</v>
      </c>
      <c r="L43" s="122">
        <f>'Sch3-Perf Period Cash Flow'!$AB$21</f>
        <v>216744</v>
      </c>
      <c r="M43" s="122">
        <f ca="1">N43+O43</f>
        <v>0</v>
      </c>
      <c r="N43" s="122">
        <f ca="1">ROUND(SUM(INDIRECT(S43):INDIRECT(T43)),0)</f>
        <v>0</v>
      </c>
      <c r="O43" s="122">
        <f ca="1">IF(N43=0,0,ROUND(SUM(INDIRECT(U43):INDIRECT(V43)),0))</f>
        <v>0</v>
      </c>
      <c r="P43" s="123" t="str">
        <f t="shared" ca="1" si="5"/>
        <v/>
      </c>
      <c r="Q43" s="1">
        <f t="shared" si="17"/>
        <v>330</v>
      </c>
      <c r="R43" s="1">
        <f t="shared" si="19"/>
        <v>341</v>
      </c>
      <c r="S43" s="1" t="str">
        <f t="shared" si="6"/>
        <v>f330</v>
      </c>
      <c r="T43" s="1" t="str">
        <f t="shared" si="7"/>
        <v>f341</v>
      </c>
      <c r="U43" s="1" t="str">
        <f t="shared" ref="U43:U56" si="22">CONCATENATE("G",Q43)</f>
        <v>G330</v>
      </c>
      <c r="V43" s="1" t="str">
        <f t="shared" ref="V43:V56" si="23">CONCATENATE("G",R43)</f>
        <v>G341</v>
      </c>
    </row>
    <row r="44" spans="1:22">
      <c r="A44" s="140">
        <f t="shared" si="10"/>
        <v>27</v>
      </c>
      <c r="B44" s="142">
        <f t="shared" si="18"/>
        <v>47088</v>
      </c>
      <c r="C44" s="141">
        <f t="shared" ca="1" si="11"/>
        <v>17230564.772300001</v>
      </c>
      <c r="D44" s="140"/>
      <c r="E44" s="141">
        <f t="shared" si="12"/>
        <v>0</v>
      </c>
      <c r="F44" s="141">
        <f t="shared" ca="1" si="13"/>
        <v>-71794.02</v>
      </c>
      <c r="G44" s="141">
        <f t="shared" ca="1" si="14"/>
        <v>71794.02</v>
      </c>
      <c r="H44" s="141">
        <f t="shared" ca="1" si="15"/>
        <v>17302358.792300001</v>
      </c>
      <c r="I44" s="288">
        <f t="shared" ca="1" si="3"/>
        <v>-17302359</v>
      </c>
      <c r="J44" s="121">
        <f t="shared" si="16"/>
        <v>28</v>
      </c>
      <c r="K44" s="122">
        <f ca="1">ROUND('Itemized Costs-HIDDEN'!M32,0)</f>
        <v>2458419</v>
      </c>
      <c r="L44" s="122">
        <f>'Sch3-Perf Period Cash Flow'!$AB$21</f>
        <v>216744</v>
      </c>
      <c r="M44" s="122">
        <f t="shared" ref="M44:M56" ca="1" si="24">N44+O44</f>
        <v>0</v>
      </c>
      <c r="N44" s="122">
        <f ca="1">ROUND(SUM(INDIRECT(S44):INDIRECT(T44)),0)</f>
        <v>0</v>
      </c>
      <c r="O44" s="122">
        <f ca="1">IF(N44=0,0,ROUND(SUM(INDIRECT(U44):INDIRECT(V44)),0))</f>
        <v>0</v>
      </c>
      <c r="P44" s="123" t="str">
        <f t="shared" ca="1" si="5"/>
        <v/>
      </c>
      <c r="Q44" s="1">
        <f t="shared" si="17"/>
        <v>342</v>
      </c>
      <c r="R44" s="1">
        <f t="shared" si="19"/>
        <v>353</v>
      </c>
      <c r="S44" s="1" t="str">
        <f t="shared" si="6"/>
        <v>f342</v>
      </c>
      <c r="T44" s="1" t="str">
        <f t="shared" si="7"/>
        <v>f353</v>
      </c>
      <c r="U44" s="1" t="str">
        <f t="shared" si="22"/>
        <v>G342</v>
      </c>
      <c r="V44" s="1" t="str">
        <f t="shared" si="23"/>
        <v>G353</v>
      </c>
    </row>
    <row r="45" spans="1:22">
      <c r="A45" s="140">
        <f t="shared" si="10"/>
        <v>28</v>
      </c>
      <c r="B45" s="142">
        <f t="shared" si="18"/>
        <v>47119</v>
      </c>
      <c r="C45" s="141">
        <f t="shared" ca="1" si="11"/>
        <v>17302358.792300001</v>
      </c>
      <c r="D45" s="140"/>
      <c r="E45" s="141">
        <f t="shared" si="12"/>
        <v>0</v>
      </c>
      <c r="F45" s="141">
        <f t="shared" ca="1" si="13"/>
        <v>-72093.161999999997</v>
      </c>
      <c r="G45" s="141">
        <f t="shared" ca="1" si="14"/>
        <v>72093.161999999997</v>
      </c>
      <c r="H45" s="141">
        <f t="shared" ca="1" si="15"/>
        <v>17374451.954300001</v>
      </c>
      <c r="I45" s="288">
        <f t="shared" ca="1" si="3"/>
        <v>-17374452</v>
      </c>
      <c r="J45" s="121">
        <f t="shared" si="16"/>
        <v>29</v>
      </c>
      <c r="K45" s="122">
        <f ca="1">ROUND('Itemized Costs-HIDDEN'!M33,0)</f>
        <v>2458419</v>
      </c>
      <c r="L45" s="122">
        <f>'Sch3-Perf Period Cash Flow'!$AB$21</f>
        <v>216744</v>
      </c>
      <c r="M45" s="122">
        <f t="shared" ca="1" si="24"/>
        <v>0</v>
      </c>
      <c r="N45" s="122">
        <f ca="1">ROUND(SUM(INDIRECT(S45):INDIRECT(T45)),0)</f>
        <v>0</v>
      </c>
      <c r="O45" s="122">
        <f ca="1">IF(N45=0,0,ROUND(SUM(INDIRECT(U45):INDIRECT(V45)),0))</f>
        <v>0</v>
      </c>
      <c r="P45" s="123" t="str">
        <f t="shared" ca="1" si="5"/>
        <v/>
      </c>
      <c r="Q45" s="1">
        <f t="shared" si="17"/>
        <v>354</v>
      </c>
      <c r="R45" s="1">
        <f t="shared" si="19"/>
        <v>365</v>
      </c>
      <c r="S45" s="1" t="str">
        <f t="shared" si="6"/>
        <v>f354</v>
      </c>
      <c r="T45" s="1" t="str">
        <f t="shared" si="7"/>
        <v>f365</v>
      </c>
      <c r="U45" s="1" t="str">
        <f t="shared" si="22"/>
        <v>G354</v>
      </c>
      <c r="V45" s="1" t="str">
        <f t="shared" si="23"/>
        <v>G365</v>
      </c>
    </row>
    <row r="46" spans="1:22">
      <c r="A46" s="140">
        <f t="shared" si="10"/>
        <v>29</v>
      </c>
      <c r="B46" s="142">
        <f t="shared" si="18"/>
        <v>47150</v>
      </c>
      <c r="C46" s="141">
        <f t="shared" ca="1" si="11"/>
        <v>17374451.954300001</v>
      </c>
      <c r="D46" s="140"/>
      <c r="E46" s="141">
        <f t="shared" si="12"/>
        <v>0</v>
      </c>
      <c r="F46" s="141">
        <f t="shared" ca="1" si="13"/>
        <v>-72393.55</v>
      </c>
      <c r="G46" s="141">
        <f t="shared" ca="1" si="14"/>
        <v>72393.55</v>
      </c>
      <c r="H46" s="141">
        <f t="shared" ca="1" si="15"/>
        <v>17446845.504299998</v>
      </c>
      <c r="I46" s="288">
        <f t="shared" ca="1" si="3"/>
        <v>-17446846</v>
      </c>
      <c r="J46" s="121">
        <f t="shared" si="16"/>
        <v>30</v>
      </c>
      <c r="K46" s="122">
        <f ca="1">ROUND('Itemized Costs-HIDDEN'!M34,0)</f>
        <v>2458419</v>
      </c>
      <c r="L46" s="122">
        <f>'Sch3-Perf Period Cash Flow'!$AB$21</f>
        <v>216744</v>
      </c>
      <c r="M46" s="122">
        <f t="shared" ca="1" si="24"/>
        <v>0</v>
      </c>
      <c r="N46" s="122">
        <f ca="1">ROUND(SUM(INDIRECT(S46):INDIRECT(T46)),0)</f>
        <v>0</v>
      </c>
      <c r="O46" s="122">
        <f ca="1">IF(N46=0,0,ROUND(SUM(INDIRECT(U46):INDIRECT(V46)),0))</f>
        <v>0</v>
      </c>
      <c r="P46" s="123" t="str">
        <f t="shared" ca="1" si="5"/>
        <v/>
      </c>
      <c r="Q46" s="1">
        <f t="shared" si="17"/>
        <v>366</v>
      </c>
      <c r="R46" s="1">
        <f t="shared" si="19"/>
        <v>377</v>
      </c>
      <c r="S46" s="1" t="str">
        <f t="shared" si="6"/>
        <v>f366</v>
      </c>
      <c r="T46" s="1" t="str">
        <f t="shared" si="7"/>
        <v>f377</v>
      </c>
      <c r="U46" s="1" t="str">
        <f t="shared" si="22"/>
        <v>G366</v>
      </c>
      <c r="V46" s="1" t="str">
        <f t="shared" si="23"/>
        <v>G377</v>
      </c>
    </row>
    <row r="47" spans="1:22">
      <c r="A47" s="140">
        <f t="shared" si="10"/>
        <v>30</v>
      </c>
      <c r="B47" s="142">
        <f t="shared" si="18"/>
        <v>47178</v>
      </c>
      <c r="C47" s="141">
        <f t="shared" ca="1" si="11"/>
        <v>17446845.504299998</v>
      </c>
      <c r="D47" s="140"/>
      <c r="E47" s="141">
        <f t="shared" si="12"/>
        <v>0</v>
      </c>
      <c r="F47" s="141">
        <f t="shared" ca="1" si="13"/>
        <v>-72695.19</v>
      </c>
      <c r="G47" s="141">
        <f t="shared" ca="1" si="14"/>
        <v>72695.19</v>
      </c>
      <c r="H47" s="141">
        <f t="shared" ca="1" si="15"/>
        <v>17519540.6943</v>
      </c>
      <c r="I47" s="288">
        <f t="shared" ca="1" si="3"/>
        <v>-17519541</v>
      </c>
      <c r="J47" s="121">
        <f t="shared" si="16"/>
        <v>31</v>
      </c>
      <c r="K47" s="122">
        <f ca="1">ROUND('Itemized Costs-HIDDEN'!M35,0)</f>
        <v>2458419</v>
      </c>
      <c r="L47" s="122">
        <f>'Sch3-Perf Period Cash Flow'!$AB$21</f>
        <v>216744</v>
      </c>
      <c r="M47" s="122">
        <f t="shared" ca="1" si="24"/>
        <v>0</v>
      </c>
      <c r="N47" s="122">
        <f ca="1">ROUND(SUM(INDIRECT(S47):INDIRECT(T47)),0)</f>
        <v>0</v>
      </c>
      <c r="O47" s="122">
        <f ca="1">IF(N47=0,0,ROUND(SUM(INDIRECT(U47):INDIRECT(V47)),0))</f>
        <v>0</v>
      </c>
      <c r="P47" s="123" t="str">
        <f t="shared" ca="1" si="5"/>
        <v/>
      </c>
      <c r="Q47" s="1">
        <f t="shared" si="17"/>
        <v>378</v>
      </c>
      <c r="R47" s="1">
        <f t="shared" si="19"/>
        <v>389</v>
      </c>
      <c r="S47" s="1" t="str">
        <f t="shared" si="6"/>
        <v>f378</v>
      </c>
      <c r="T47" s="1" t="str">
        <f t="shared" si="7"/>
        <v>f389</v>
      </c>
      <c r="U47" s="1" t="str">
        <f t="shared" si="22"/>
        <v>G378</v>
      </c>
      <c r="V47" s="1" t="str">
        <f t="shared" si="23"/>
        <v>G389</v>
      </c>
    </row>
    <row r="48" spans="1:22">
      <c r="A48" s="140">
        <f t="shared" si="10"/>
        <v>31</v>
      </c>
      <c r="B48" s="142">
        <f t="shared" si="18"/>
        <v>47209</v>
      </c>
      <c r="C48" s="141">
        <f t="shared" ca="1" si="11"/>
        <v>17519540.6943</v>
      </c>
      <c r="D48" s="140"/>
      <c r="E48" s="141">
        <f t="shared" si="12"/>
        <v>0</v>
      </c>
      <c r="F48" s="141">
        <f t="shared" ca="1" si="13"/>
        <v>-72998.085999999996</v>
      </c>
      <c r="G48" s="141">
        <f t="shared" ca="1" si="14"/>
        <v>72998.085999999996</v>
      </c>
      <c r="H48" s="141">
        <f t="shared" ca="1" si="15"/>
        <v>17592538.780299999</v>
      </c>
      <c r="I48" s="288">
        <f t="shared" ca="1" si="3"/>
        <v>-17592539</v>
      </c>
      <c r="J48" s="121">
        <f t="shared" si="16"/>
        <v>32</v>
      </c>
      <c r="K48" s="122">
        <f ca="1">ROUND('Itemized Costs-HIDDEN'!M36,0)</f>
        <v>2458419</v>
      </c>
      <c r="L48" s="122">
        <f>'Sch3-Perf Period Cash Flow'!$AB$21</f>
        <v>216744</v>
      </c>
      <c r="M48" s="122">
        <f t="shared" ca="1" si="24"/>
        <v>0</v>
      </c>
      <c r="N48" s="122">
        <f ca="1">ROUND(SUM(INDIRECT(S48):INDIRECT(T48)),0)</f>
        <v>0</v>
      </c>
      <c r="O48" s="122">
        <f ca="1">IF(N48=0,0,ROUND(SUM(INDIRECT(U48):INDIRECT(V48)),0))</f>
        <v>0</v>
      </c>
      <c r="P48" s="123" t="str">
        <f t="shared" ca="1" si="5"/>
        <v/>
      </c>
      <c r="Q48" s="1">
        <f t="shared" si="17"/>
        <v>390</v>
      </c>
      <c r="R48" s="1">
        <f t="shared" si="19"/>
        <v>401</v>
      </c>
      <c r="S48" s="1" t="str">
        <f t="shared" si="6"/>
        <v>f390</v>
      </c>
      <c r="T48" s="1" t="str">
        <f t="shared" si="7"/>
        <v>f401</v>
      </c>
      <c r="U48" s="1" t="str">
        <f t="shared" si="22"/>
        <v>G390</v>
      </c>
      <c r="V48" s="1" t="str">
        <f t="shared" si="23"/>
        <v>G401</v>
      </c>
    </row>
    <row r="49" spans="1:22">
      <c r="A49" s="140">
        <f t="shared" si="10"/>
        <v>32</v>
      </c>
      <c r="B49" s="142">
        <f t="shared" si="18"/>
        <v>47239</v>
      </c>
      <c r="C49" s="141">
        <f t="shared" ca="1" si="11"/>
        <v>17592538.780299999</v>
      </c>
      <c r="D49" s="140"/>
      <c r="E49" s="141">
        <f t="shared" si="12"/>
        <v>0</v>
      </c>
      <c r="F49" s="141">
        <f t="shared" ca="1" si="13"/>
        <v>-73302.244999999995</v>
      </c>
      <c r="G49" s="141">
        <f t="shared" ca="1" si="14"/>
        <v>73302.244999999995</v>
      </c>
      <c r="H49" s="141">
        <f t="shared" ca="1" si="15"/>
        <v>17665841.0253</v>
      </c>
      <c r="I49" s="288">
        <f t="shared" ca="1" si="3"/>
        <v>-17665841</v>
      </c>
      <c r="J49" s="121">
        <f t="shared" si="16"/>
        <v>33</v>
      </c>
      <c r="K49" s="122">
        <f ca="1">ROUND('Itemized Costs-HIDDEN'!M37,0)</f>
        <v>2458419</v>
      </c>
      <c r="L49" s="122">
        <f>'Sch3-Perf Period Cash Flow'!$AB$21</f>
        <v>216744</v>
      </c>
      <c r="M49" s="122">
        <f t="shared" ca="1" si="24"/>
        <v>0</v>
      </c>
      <c r="N49" s="122">
        <f ca="1">ROUND(SUM(INDIRECT(S49):INDIRECT(T49)),0)</f>
        <v>0</v>
      </c>
      <c r="O49" s="122">
        <f ca="1">IF(N49=0,0,ROUND(SUM(INDIRECT(U49):INDIRECT(V49)),0))</f>
        <v>0</v>
      </c>
      <c r="P49" s="123" t="str">
        <f t="shared" ca="1" si="5"/>
        <v/>
      </c>
      <c r="Q49" s="1">
        <f t="shared" si="17"/>
        <v>402</v>
      </c>
      <c r="R49" s="1">
        <f t="shared" si="19"/>
        <v>413</v>
      </c>
      <c r="S49" s="1" t="str">
        <f t="shared" si="6"/>
        <v>f402</v>
      </c>
      <c r="T49" s="1" t="str">
        <f t="shared" si="7"/>
        <v>f413</v>
      </c>
      <c r="U49" s="1" t="str">
        <f t="shared" si="22"/>
        <v>G402</v>
      </c>
      <c r="V49" s="1" t="str">
        <f t="shared" si="23"/>
        <v>G413</v>
      </c>
    </row>
    <row r="50" spans="1:22">
      <c r="A50" s="140">
        <f t="shared" si="10"/>
        <v>33</v>
      </c>
      <c r="B50" s="142">
        <f t="shared" si="18"/>
        <v>47270</v>
      </c>
      <c r="C50" s="141">
        <f t="shared" ca="1" si="11"/>
        <v>17665841.0253</v>
      </c>
      <c r="D50" s="140"/>
      <c r="E50" s="141">
        <f t="shared" si="12"/>
        <v>0</v>
      </c>
      <c r="F50" s="141">
        <f t="shared" ca="1" si="13"/>
        <v>-73607.671000000002</v>
      </c>
      <c r="G50" s="141">
        <f t="shared" ca="1" si="14"/>
        <v>73607.671000000002</v>
      </c>
      <c r="H50" s="141">
        <f t="shared" ca="1" si="15"/>
        <v>17739448.6963</v>
      </c>
      <c r="I50" s="288">
        <f t="shared" ca="1" si="3"/>
        <v>-17739449</v>
      </c>
      <c r="J50" s="121">
        <f t="shared" si="16"/>
        <v>34</v>
      </c>
      <c r="K50" s="122">
        <f ca="1">ROUND('Itemized Costs-HIDDEN'!M38,0)</f>
        <v>2458419</v>
      </c>
      <c r="L50" s="122">
        <f>'Sch3-Perf Period Cash Flow'!$AB$21</f>
        <v>216744</v>
      </c>
      <c r="M50" s="122">
        <f t="shared" ca="1" si="24"/>
        <v>0</v>
      </c>
      <c r="N50" s="122">
        <f ca="1">ROUND(SUM(INDIRECT(S50):INDIRECT(T50)),0)</f>
        <v>0</v>
      </c>
      <c r="O50" s="122">
        <f ca="1">IF(N50=0,0,ROUND(SUM(INDIRECT(U50):INDIRECT(V50)),0))</f>
        <v>0</v>
      </c>
      <c r="P50" s="123" t="str">
        <f t="shared" ca="1" si="5"/>
        <v/>
      </c>
      <c r="Q50" s="1">
        <f t="shared" si="17"/>
        <v>414</v>
      </c>
      <c r="R50" s="1">
        <f t="shared" si="19"/>
        <v>425</v>
      </c>
      <c r="S50" s="1" t="str">
        <f t="shared" si="6"/>
        <v>f414</v>
      </c>
      <c r="T50" s="1" t="str">
        <f t="shared" si="7"/>
        <v>f425</v>
      </c>
      <c r="U50" s="1" t="str">
        <f t="shared" si="22"/>
        <v>G414</v>
      </c>
      <c r="V50" s="1" t="str">
        <f t="shared" si="23"/>
        <v>G425</v>
      </c>
    </row>
    <row r="51" spans="1:22">
      <c r="A51" s="140">
        <f t="shared" si="10"/>
        <v>34</v>
      </c>
      <c r="B51" s="142">
        <f t="shared" si="18"/>
        <v>47300</v>
      </c>
      <c r="C51" s="141">
        <f t="shared" ca="1" si="11"/>
        <v>17739448.6963</v>
      </c>
      <c r="D51" s="140"/>
      <c r="E51" s="141">
        <f t="shared" si="12"/>
        <v>0</v>
      </c>
      <c r="F51" s="141">
        <f t="shared" ca="1" si="13"/>
        <v>-73914.37</v>
      </c>
      <c r="G51" s="141">
        <f t="shared" ca="1" si="14"/>
        <v>73914.37</v>
      </c>
      <c r="H51" s="141">
        <f t="shared" ca="1" si="15"/>
        <v>17813363.066300001</v>
      </c>
      <c r="I51" s="288">
        <f t="shared" ca="1" si="3"/>
        <v>-17813363</v>
      </c>
      <c r="J51" s="121">
        <f t="shared" si="16"/>
        <v>35</v>
      </c>
      <c r="K51" s="122">
        <f ca="1">ROUND('Itemized Costs-HIDDEN'!M39,0)</f>
        <v>2458419</v>
      </c>
      <c r="L51" s="122">
        <f>'Sch3-Perf Period Cash Flow'!$AB$21</f>
        <v>216744</v>
      </c>
      <c r="M51" s="122">
        <f t="shared" ca="1" si="24"/>
        <v>0</v>
      </c>
      <c r="N51" s="122">
        <f ca="1">ROUND(SUM(INDIRECT(S51):INDIRECT(T51)),0)</f>
        <v>0</v>
      </c>
      <c r="O51" s="122">
        <f ca="1">IF(N51=0,0,ROUND(SUM(INDIRECT(U51):INDIRECT(V51)),0))</f>
        <v>0</v>
      </c>
      <c r="P51" s="123" t="str">
        <f t="shared" ca="1" si="5"/>
        <v/>
      </c>
      <c r="Q51" s="1">
        <f t="shared" si="17"/>
        <v>426</v>
      </c>
      <c r="R51" s="1">
        <f t="shared" si="19"/>
        <v>437</v>
      </c>
      <c r="S51" s="1" t="str">
        <f t="shared" si="6"/>
        <v>f426</v>
      </c>
      <c r="T51" s="1" t="str">
        <f t="shared" si="7"/>
        <v>f437</v>
      </c>
      <c r="U51" s="1" t="str">
        <f t="shared" si="22"/>
        <v>G426</v>
      </c>
      <c r="V51" s="1" t="str">
        <f t="shared" si="23"/>
        <v>G437</v>
      </c>
    </row>
    <row r="52" spans="1:22">
      <c r="A52" s="140">
        <f t="shared" si="10"/>
        <v>35</v>
      </c>
      <c r="B52" s="142">
        <f t="shared" si="18"/>
        <v>47331</v>
      </c>
      <c r="C52" s="141">
        <f t="shared" ca="1" si="11"/>
        <v>17813363.066300001</v>
      </c>
      <c r="D52" s="140"/>
      <c r="E52" s="141">
        <f>IF($D$10=1,IF(MONTH(B52)=MONTH($D$7),D51-'Sch3-Perf Period Cash Flow'!F7,0),IF(MONTH(B52)=MONTH(EDATE($D$7,11)),IF(AND(H51&gt;D41,H51&lt;K19-L19), H51, MIN(D41,H51))-'Sch3-Perf Period Cash Flow'!F7,0))</f>
        <v>0</v>
      </c>
      <c r="F52" s="141">
        <f t="shared" ca="1" si="13"/>
        <v>-74222.346000000005</v>
      </c>
      <c r="G52" s="141">
        <f t="shared" ca="1" si="14"/>
        <v>74222.346000000005</v>
      </c>
      <c r="H52" s="141">
        <f t="shared" ca="1" si="15"/>
        <v>17887585.412300002</v>
      </c>
      <c r="I52" s="288">
        <f t="shared" ca="1" si="3"/>
        <v>-17887585</v>
      </c>
      <c r="J52" s="121">
        <f t="shared" si="16"/>
        <v>36</v>
      </c>
      <c r="K52" s="122">
        <f ca="1">ROUND('Itemized Costs-HIDDEN'!M40,0)</f>
        <v>2458419</v>
      </c>
      <c r="L52" s="122">
        <f>'Sch3-Perf Period Cash Flow'!$AB$21</f>
        <v>216744</v>
      </c>
      <c r="M52" s="122">
        <f t="shared" ca="1" si="24"/>
        <v>0</v>
      </c>
      <c r="N52" s="122">
        <f ca="1">ROUND(SUM(INDIRECT(S52):INDIRECT(T52)),0)</f>
        <v>0</v>
      </c>
      <c r="O52" s="122">
        <f ca="1">IF(N52=0,0,ROUND(SUM(INDIRECT(U52):INDIRECT(V52)),0))</f>
        <v>0</v>
      </c>
      <c r="P52" s="123" t="str">
        <f t="shared" ca="1" si="5"/>
        <v/>
      </c>
      <c r="Q52" s="1">
        <f t="shared" si="17"/>
        <v>438</v>
      </c>
      <c r="R52" s="1">
        <f t="shared" si="19"/>
        <v>449</v>
      </c>
      <c r="S52" s="1" t="str">
        <f t="shared" si="6"/>
        <v>f438</v>
      </c>
      <c r="T52" s="1" t="str">
        <f t="shared" si="7"/>
        <v>f449</v>
      </c>
      <c r="U52" s="1" t="str">
        <f t="shared" si="22"/>
        <v>G438</v>
      </c>
      <c r="V52" s="1" t="str">
        <f t="shared" si="23"/>
        <v>G449</v>
      </c>
    </row>
    <row r="53" spans="1:22">
      <c r="A53" s="140">
        <f t="shared" si="10"/>
        <v>36</v>
      </c>
      <c r="B53" s="142">
        <f t="shared" si="18"/>
        <v>47362</v>
      </c>
      <c r="C53" s="141">
        <f t="shared" ca="1" si="11"/>
        <v>17887585.412300002</v>
      </c>
      <c r="D53" s="141">
        <f ca="1">IF(H53&lt;0,0,IF((H52+G53)&lt;(K20-L20),H52+G53,K20-L20))</f>
        <v>1442547</v>
      </c>
      <c r="E53" s="141">
        <f ca="1">IF($D$10=1,IF(MONTH(B53)=MONTH($D$7),D52-'Sch3-Perf Period Cash Flow'!F7,0),IF(MONTH(B53)=MONTH(EDATE($D$7,11)),MIN(D41,H52)-'Sch3-Perf Period Cash Flow'!F7,0))</f>
        <v>1414283</v>
      </c>
      <c r="F53" s="141">
        <f t="shared" ca="1" si="13"/>
        <v>1345644.24</v>
      </c>
      <c r="G53" s="141">
        <f t="shared" ca="1" si="14"/>
        <v>68638.759999999995</v>
      </c>
      <c r="H53" s="141">
        <f t="shared" ca="1" si="15"/>
        <v>16541941.1723</v>
      </c>
      <c r="I53" s="288">
        <f t="shared" ca="1" si="3"/>
        <v>-15099394</v>
      </c>
      <c r="J53" s="121">
        <f t="shared" si="16"/>
        <v>37</v>
      </c>
      <c r="K53" s="122">
        <f ca="1">ROUND('Itemized Costs-HIDDEN'!M41,0)</f>
        <v>2458419</v>
      </c>
      <c r="L53" s="122">
        <f>'Sch3-Perf Period Cash Flow'!$AB$21</f>
        <v>216744</v>
      </c>
      <c r="M53" s="122">
        <f t="shared" ca="1" si="24"/>
        <v>0</v>
      </c>
      <c r="N53" s="122">
        <f ca="1">ROUND(SUM(INDIRECT(S53):INDIRECT(T53)),0)</f>
        <v>0</v>
      </c>
      <c r="O53" s="122">
        <f ca="1">IF(N53=0,0,ROUND(SUM(INDIRECT(U53):INDIRECT(V53)),0))</f>
        <v>0</v>
      </c>
      <c r="P53" s="123" t="str">
        <f t="shared" ca="1" si="5"/>
        <v/>
      </c>
      <c r="Q53" s="1">
        <f t="shared" si="17"/>
        <v>450</v>
      </c>
      <c r="R53" s="1">
        <f t="shared" si="19"/>
        <v>461</v>
      </c>
      <c r="S53" s="1" t="str">
        <f t="shared" si="6"/>
        <v>f450</v>
      </c>
      <c r="T53" s="1" t="str">
        <f t="shared" si="7"/>
        <v>f461</v>
      </c>
      <c r="U53" s="1" t="str">
        <f t="shared" si="22"/>
        <v>G450</v>
      </c>
      <c r="V53" s="1" t="str">
        <f t="shared" si="23"/>
        <v>G461</v>
      </c>
    </row>
    <row r="54" spans="1:22">
      <c r="A54" s="140">
        <f t="shared" si="10"/>
        <v>37</v>
      </c>
      <c r="B54" s="142">
        <f t="shared" si="18"/>
        <v>47392</v>
      </c>
      <c r="C54" s="141">
        <f t="shared" ca="1" si="11"/>
        <v>16541941.1723</v>
      </c>
      <c r="D54" s="141"/>
      <c r="E54" s="141">
        <f>IF($D$10=1,IF(MONTH(B54)=MONTH($D$7),D53-'Sch3-Perf Period Cash Flow'!G7,0),IF(MONTH(B54)=MONTH(EDATE($D$7,11)),MIN(D42,H53)-'Sch3-Perf Period Cash Flow'!G7,0))</f>
        <v>0</v>
      </c>
      <c r="F54" s="141">
        <f t="shared" ca="1" si="13"/>
        <v>-68924.755000000005</v>
      </c>
      <c r="G54" s="141">
        <f t="shared" ca="1" si="14"/>
        <v>68924.755000000005</v>
      </c>
      <c r="H54" s="141">
        <f t="shared" ca="1" si="15"/>
        <v>16610865.927300001</v>
      </c>
      <c r="I54" s="288">
        <f t="shared" ca="1" si="3"/>
        <v>-16610866</v>
      </c>
      <c r="J54" s="121">
        <f t="shared" si="16"/>
        <v>38</v>
      </c>
      <c r="K54" s="122">
        <f ca="1">ROUND('Itemized Costs-HIDDEN'!M42,0)</f>
        <v>2458419</v>
      </c>
      <c r="L54" s="122">
        <f>'Sch3-Perf Period Cash Flow'!$AB$21</f>
        <v>216744</v>
      </c>
      <c r="M54" s="122">
        <f t="shared" ca="1" si="24"/>
        <v>0</v>
      </c>
      <c r="N54" s="122">
        <f ca="1">ROUND(SUM(INDIRECT(S54):INDIRECT(T54)),0)</f>
        <v>0</v>
      </c>
      <c r="O54" s="122">
        <f ca="1">IF(N54=0,0,ROUND(SUM(INDIRECT(U54):INDIRECT(V54)),0))</f>
        <v>0</v>
      </c>
      <c r="P54" s="123" t="str">
        <f t="shared" ca="1" si="5"/>
        <v/>
      </c>
      <c r="Q54" s="1">
        <f t="shared" si="17"/>
        <v>462</v>
      </c>
      <c r="R54" s="1">
        <f t="shared" si="19"/>
        <v>473</v>
      </c>
      <c r="S54" s="1" t="str">
        <f t="shared" si="6"/>
        <v>f462</v>
      </c>
      <c r="T54" s="1" t="str">
        <f t="shared" si="7"/>
        <v>f473</v>
      </c>
      <c r="U54" s="1" t="str">
        <f t="shared" si="22"/>
        <v>G462</v>
      </c>
      <c r="V54" s="1" t="str">
        <f t="shared" si="23"/>
        <v>G473</v>
      </c>
    </row>
    <row r="55" spans="1:22">
      <c r="A55" s="140">
        <f t="shared" si="10"/>
        <v>38</v>
      </c>
      <c r="B55" s="142">
        <f t="shared" si="18"/>
        <v>47423</v>
      </c>
      <c r="C55" s="141">
        <f t="shared" ca="1" si="11"/>
        <v>16610865.927300001</v>
      </c>
      <c r="D55" s="140"/>
      <c r="E55" s="141">
        <f t="shared" si="12"/>
        <v>0</v>
      </c>
      <c r="F55" s="141">
        <f t="shared" ca="1" si="13"/>
        <v>-69211.941000000006</v>
      </c>
      <c r="G55" s="141">
        <f t="shared" ca="1" si="14"/>
        <v>69211.941000000006</v>
      </c>
      <c r="H55" s="141">
        <f t="shared" ca="1" si="15"/>
        <v>16680077.8683</v>
      </c>
      <c r="I55" s="288">
        <f t="shared" ca="1" si="3"/>
        <v>-16680078</v>
      </c>
      <c r="J55" s="121">
        <f t="shared" si="16"/>
        <v>39</v>
      </c>
      <c r="K55" s="122">
        <f ca="1">ROUND('Itemized Costs-HIDDEN'!M43,0)</f>
        <v>2458419</v>
      </c>
      <c r="L55" s="122">
        <f>'Sch3-Perf Period Cash Flow'!$AB$21</f>
        <v>216744</v>
      </c>
      <c r="M55" s="122">
        <f t="shared" ca="1" si="24"/>
        <v>0</v>
      </c>
      <c r="N55" s="122">
        <f ca="1">ROUND(SUM(INDIRECT(S55):INDIRECT(T55)),0)</f>
        <v>0</v>
      </c>
      <c r="O55" s="122">
        <f ca="1">IF(N55=0,0,ROUND(SUM(INDIRECT(U55):INDIRECT(V55)),0))</f>
        <v>0</v>
      </c>
      <c r="P55" s="123" t="str">
        <f t="shared" ca="1" si="5"/>
        <v/>
      </c>
      <c r="Q55" s="1">
        <f t="shared" si="17"/>
        <v>474</v>
      </c>
      <c r="R55" s="1">
        <f t="shared" si="19"/>
        <v>485</v>
      </c>
      <c r="S55" s="1" t="str">
        <f t="shared" si="6"/>
        <v>f474</v>
      </c>
      <c r="T55" s="1" t="str">
        <f t="shared" si="7"/>
        <v>f485</v>
      </c>
      <c r="U55" s="1" t="str">
        <f t="shared" si="22"/>
        <v>G474</v>
      </c>
      <c r="V55" s="1" t="str">
        <f t="shared" si="23"/>
        <v>G485</v>
      </c>
    </row>
    <row r="56" spans="1:22">
      <c r="A56" s="140">
        <f t="shared" si="10"/>
        <v>39</v>
      </c>
      <c r="B56" s="142">
        <f t="shared" si="18"/>
        <v>47453</v>
      </c>
      <c r="C56" s="141">
        <f t="shared" ca="1" si="11"/>
        <v>16680077.8683</v>
      </c>
      <c r="D56" s="140"/>
      <c r="E56" s="141">
        <f t="shared" si="12"/>
        <v>0</v>
      </c>
      <c r="F56" s="141">
        <f t="shared" ca="1" si="13"/>
        <v>-69500.323999999993</v>
      </c>
      <c r="G56" s="141">
        <f t="shared" ca="1" si="14"/>
        <v>69500.323999999993</v>
      </c>
      <c r="H56" s="141">
        <f t="shared" ca="1" si="15"/>
        <v>16749578.192299999</v>
      </c>
      <c r="I56" s="288">
        <f t="shared" ca="1" si="3"/>
        <v>-16749578</v>
      </c>
      <c r="J56" s="121">
        <f t="shared" si="16"/>
        <v>40</v>
      </c>
      <c r="K56" s="122">
        <f ca="1">ROUND('Itemized Costs-HIDDEN'!M44,0)</f>
        <v>2458419</v>
      </c>
      <c r="L56" s="122">
        <f>'Sch3-Perf Period Cash Flow'!$AB$21</f>
        <v>216744</v>
      </c>
      <c r="M56" s="122">
        <f t="shared" ca="1" si="24"/>
        <v>0</v>
      </c>
      <c r="N56" s="122">
        <f ca="1">ROUND(SUM(INDIRECT(S56):INDIRECT(T56)),0)</f>
        <v>0</v>
      </c>
      <c r="O56" s="122">
        <f ca="1">IF(N56=0,0,ROUND(SUM(INDIRECT(U56):INDIRECT(V56)),0))</f>
        <v>0</v>
      </c>
      <c r="P56" s="123" t="str">
        <f t="shared" ca="1" si="5"/>
        <v/>
      </c>
      <c r="Q56" s="1">
        <f t="shared" si="17"/>
        <v>486</v>
      </c>
      <c r="R56" s="1">
        <f t="shared" si="19"/>
        <v>497</v>
      </c>
      <c r="S56" s="1" t="str">
        <f t="shared" si="6"/>
        <v>f486</v>
      </c>
      <c r="T56" s="1" t="str">
        <f t="shared" si="7"/>
        <v>f497</v>
      </c>
      <c r="U56" s="1" t="str">
        <f t="shared" si="22"/>
        <v>G486</v>
      </c>
      <c r="V56" s="1" t="str">
        <f t="shared" si="23"/>
        <v>G497</v>
      </c>
    </row>
    <row r="57" spans="1:22">
      <c r="A57" s="140">
        <f t="shared" si="10"/>
        <v>40</v>
      </c>
      <c r="B57" s="142">
        <f t="shared" si="18"/>
        <v>47484</v>
      </c>
      <c r="C57" s="141">
        <f t="shared" ca="1" si="11"/>
        <v>16749578.192299999</v>
      </c>
      <c r="D57" s="140"/>
      <c r="E57" s="141">
        <f t="shared" si="12"/>
        <v>0</v>
      </c>
      <c r="F57" s="141">
        <f t="shared" ca="1" si="13"/>
        <v>-69789.909</v>
      </c>
      <c r="G57" s="141">
        <f t="shared" ca="1" si="14"/>
        <v>69789.909</v>
      </c>
      <c r="H57" s="141">
        <f t="shared" ca="1" si="15"/>
        <v>16819368.101300001</v>
      </c>
      <c r="I57" s="288">
        <f t="shared" ca="1" si="3"/>
        <v>-16819368</v>
      </c>
      <c r="J57" s="121"/>
      <c r="K57" s="122"/>
      <c r="L57" s="122"/>
      <c r="M57" s="122"/>
      <c r="N57" s="122"/>
      <c r="O57" s="122"/>
      <c r="P57" s="123" t="str">
        <f t="shared" si="5"/>
        <v/>
      </c>
      <c r="Q57" s="1">
        <f t="shared" si="17"/>
        <v>498</v>
      </c>
      <c r="R57" s="1">
        <f t="shared" ref="R57:R72" si="25">Q57+11</f>
        <v>509</v>
      </c>
      <c r="S57" s="1" t="str">
        <f t="shared" si="6"/>
        <v>f498</v>
      </c>
      <c r="T57" s="1" t="str">
        <f t="shared" si="7"/>
        <v>f509</v>
      </c>
      <c r="U57" s="1" t="str">
        <f t="shared" ref="U57:U72" si="26">CONCATENATE("G",Q57)</f>
        <v>G498</v>
      </c>
      <c r="V57" s="1" t="str">
        <f t="shared" ref="V57:V72" si="27">CONCATENATE("G",R57)</f>
        <v>G509</v>
      </c>
    </row>
    <row r="58" spans="1:22">
      <c r="A58" s="140">
        <f t="shared" si="10"/>
        <v>41</v>
      </c>
      <c r="B58" s="142">
        <f t="shared" si="18"/>
        <v>47515</v>
      </c>
      <c r="C58" s="141">
        <f t="shared" ca="1" si="11"/>
        <v>16819368.101300001</v>
      </c>
      <c r="D58" s="140"/>
      <c r="E58" s="141">
        <f t="shared" si="12"/>
        <v>0</v>
      </c>
      <c r="F58" s="141">
        <f t="shared" ca="1" si="13"/>
        <v>-70080.7</v>
      </c>
      <c r="G58" s="141">
        <f t="shared" ca="1" si="14"/>
        <v>70080.7</v>
      </c>
      <c r="H58" s="141">
        <f t="shared" ca="1" si="15"/>
        <v>16889448.8013</v>
      </c>
      <c r="I58" s="288">
        <f t="shared" ca="1" si="3"/>
        <v>-16889449</v>
      </c>
      <c r="J58" s="121"/>
      <c r="K58" s="122"/>
      <c r="L58" s="122"/>
      <c r="M58" s="122"/>
      <c r="N58" s="122"/>
      <c r="O58" s="122"/>
      <c r="P58" s="123" t="str">
        <f t="shared" si="5"/>
        <v/>
      </c>
      <c r="Q58" s="1">
        <f t="shared" si="17"/>
        <v>510</v>
      </c>
      <c r="R58" s="1">
        <f t="shared" si="25"/>
        <v>521</v>
      </c>
      <c r="S58" s="1" t="str">
        <f t="shared" si="6"/>
        <v>f510</v>
      </c>
      <c r="T58" s="1" t="str">
        <f t="shared" si="7"/>
        <v>f521</v>
      </c>
      <c r="U58" s="1" t="str">
        <f t="shared" si="26"/>
        <v>G510</v>
      </c>
      <c r="V58" s="1" t="str">
        <f t="shared" si="27"/>
        <v>G521</v>
      </c>
    </row>
    <row r="59" spans="1:22">
      <c r="A59" s="140">
        <f t="shared" si="10"/>
        <v>42</v>
      </c>
      <c r="B59" s="142">
        <f t="shared" si="18"/>
        <v>47543</v>
      </c>
      <c r="C59" s="141">
        <f t="shared" ca="1" si="11"/>
        <v>16889448.8013</v>
      </c>
      <c r="D59" s="140"/>
      <c r="E59" s="141">
        <f t="shared" si="12"/>
        <v>0</v>
      </c>
      <c r="F59" s="141">
        <f t="shared" ca="1" si="13"/>
        <v>-70372.702999999994</v>
      </c>
      <c r="G59" s="141">
        <f t="shared" ca="1" si="14"/>
        <v>70372.702999999994</v>
      </c>
      <c r="H59" s="141">
        <f t="shared" ca="1" si="15"/>
        <v>16959821.504299998</v>
      </c>
      <c r="I59" s="288">
        <f t="shared" ca="1" si="3"/>
        <v>-16959822</v>
      </c>
      <c r="J59" s="121"/>
      <c r="K59" s="122"/>
      <c r="L59" s="122"/>
      <c r="M59" s="122"/>
      <c r="N59" s="122"/>
      <c r="O59" s="122"/>
      <c r="P59" s="123" t="str">
        <f t="shared" si="5"/>
        <v/>
      </c>
      <c r="Q59" s="1">
        <f t="shared" si="17"/>
        <v>522</v>
      </c>
      <c r="R59" s="1">
        <f t="shared" si="25"/>
        <v>533</v>
      </c>
      <c r="S59" s="1" t="str">
        <f t="shared" si="6"/>
        <v>f522</v>
      </c>
      <c r="T59" s="1" t="str">
        <f t="shared" si="7"/>
        <v>f533</v>
      </c>
      <c r="U59" s="1" t="str">
        <f t="shared" si="26"/>
        <v>G522</v>
      </c>
      <c r="V59" s="1" t="str">
        <f t="shared" si="27"/>
        <v>G533</v>
      </c>
    </row>
    <row r="60" spans="1:22">
      <c r="A60" s="140">
        <f t="shared" si="10"/>
        <v>43</v>
      </c>
      <c r="B60" s="142">
        <f t="shared" si="18"/>
        <v>47574</v>
      </c>
      <c r="C60" s="141">
        <f t="shared" ca="1" si="11"/>
        <v>16959821.504299998</v>
      </c>
      <c r="D60" s="140"/>
      <c r="E60" s="141">
        <f t="shared" si="12"/>
        <v>0</v>
      </c>
      <c r="F60" s="141">
        <f t="shared" ca="1" si="13"/>
        <v>-70665.922999999995</v>
      </c>
      <c r="G60" s="141">
        <f t="shared" ca="1" si="14"/>
        <v>70665.922999999995</v>
      </c>
      <c r="H60" s="141">
        <f t="shared" ca="1" si="15"/>
        <v>17030487.427299999</v>
      </c>
      <c r="I60" s="288">
        <f t="shared" ca="1" si="3"/>
        <v>-17030487</v>
      </c>
      <c r="J60" s="121"/>
      <c r="K60" s="122"/>
      <c r="L60" s="122"/>
      <c r="M60" s="122"/>
      <c r="N60" s="122"/>
      <c r="O60" s="122"/>
      <c r="P60" s="123" t="str">
        <f t="shared" si="5"/>
        <v/>
      </c>
      <c r="Q60" s="1">
        <f t="shared" si="17"/>
        <v>534</v>
      </c>
      <c r="R60" s="1">
        <f t="shared" si="25"/>
        <v>545</v>
      </c>
      <c r="S60" s="1" t="str">
        <f t="shared" si="6"/>
        <v>f534</v>
      </c>
      <c r="T60" s="1" t="str">
        <f t="shared" si="7"/>
        <v>f545</v>
      </c>
      <c r="U60" s="1" t="str">
        <f t="shared" si="26"/>
        <v>G534</v>
      </c>
      <c r="V60" s="1" t="str">
        <f t="shared" si="27"/>
        <v>G545</v>
      </c>
    </row>
    <row r="61" spans="1:22">
      <c r="A61" s="140">
        <f t="shared" si="10"/>
        <v>44</v>
      </c>
      <c r="B61" s="142">
        <f t="shared" si="18"/>
        <v>47604</v>
      </c>
      <c r="C61" s="141">
        <f t="shared" ca="1" si="11"/>
        <v>17030487.427299999</v>
      </c>
      <c r="D61" s="140"/>
      <c r="E61" s="141">
        <f t="shared" si="12"/>
        <v>0</v>
      </c>
      <c r="F61" s="141">
        <f t="shared" ca="1" si="13"/>
        <v>-70960.364000000001</v>
      </c>
      <c r="G61" s="141">
        <f t="shared" ca="1" si="14"/>
        <v>70960.364000000001</v>
      </c>
      <c r="H61" s="141">
        <f t="shared" ca="1" si="15"/>
        <v>17101447.791299999</v>
      </c>
      <c r="I61" s="288">
        <f t="shared" ca="1" si="3"/>
        <v>-17101448</v>
      </c>
      <c r="J61" s="121"/>
      <c r="K61" s="122"/>
      <c r="L61" s="122"/>
      <c r="M61" s="122"/>
      <c r="N61" s="122"/>
      <c r="O61" s="122"/>
      <c r="P61" s="123" t="str">
        <f t="shared" si="5"/>
        <v/>
      </c>
      <c r="Q61" s="1">
        <f t="shared" si="17"/>
        <v>546</v>
      </c>
      <c r="R61" s="1">
        <f t="shared" si="25"/>
        <v>557</v>
      </c>
      <c r="S61" s="1" t="str">
        <f t="shared" si="6"/>
        <v>f546</v>
      </c>
      <c r="T61" s="1" t="str">
        <f t="shared" si="7"/>
        <v>f557</v>
      </c>
      <c r="U61" s="1" t="str">
        <f t="shared" si="26"/>
        <v>G546</v>
      </c>
      <c r="V61" s="1" t="str">
        <f t="shared" si="27"/>
        <v>G557</v>
      </c>
    </row>
    <row r="62" spans="1:22">
      <c r="A62" s="140">
        <f t="shared" si="10"/>
        <v>45</v>
      </c>
      <c r="B62" s="142">
        <f t="shared" si="18"/>
        <v>47635</v>
      </c>
      <c r="C62" s="141">
        <f t="shared" ca="1" si="11"/>
        <v>17101447.791299999</v>
      </c>
      <c r="D62" s="140"/>
      <c r="E62" s="141">
        <f t="shared" si="12"/>
        <v>0</v>
      </c>
      <c r="F62" s="141">
        <f t="shared" ca="1" si="13"/>
        <v>-71256.032000000007</v>
      </c>
      <c r="G62" s="141">
        <f t="shared" ca="1" si="14"/>
        <v>71256.032000000007</v>
      </c>
      <c r="H62" s="141">
        <f t="shared" ca="1" si="15"/>
        <v>17172703.8233</v>
      </c>
      <c r="I62" s="288">
        <f t="shared" ca="1" si="3"/>
        <v>-17172704</v>
      </c>
      <c r="J62" s="121"/>
      <c r="K62" s="122"/>
      <c r="L62" s="122"/>
      <c r="M62" s="122"/>
      <c r="N62" s="122"/>
      <c r="O62" s="122"/>
      <c r="P62" s="123" t="str">
        <f t="shared" si="5"/>
        <v/>
      </c>
      <c r="Q62" s="1">
        <f t="shared" si="17"/>
        <v>558</v>
      </c>
      <c r="R62" s="1">
        <f t="shared" si="25"/>
        <v>569</v>
      </c>
      <c r="S62" s="1" t="str">
        <f t="shared" si="6"/>
        <v>f558</v>
      </c>
      <c r="T62" s="1" t="str">
        <f t="shared" si="7"/>
        <v>f569</v>
      </c>
      <c r="U62" s="1" t="str">
        <f t="shared" si="26"/>
        <v>G558</v>
      </c>
      <c r="V62" s="1" t="str">
        <f t="shared" si="27"/>
        <v>G569</v>
      </c>
    </row>
    <row r="63" spans="1:22">
      <c r="A63" s="140">
        <f t="shared" si="10"/>
        <v>46</v>
      </c>
      <c r="B63" s="142">
        <f t="shared" si="18"/>
        <v>47665</v>
      </c>
      <c r="C63" s="141">
        <f t="shared" ca="1" si="11"/>
        <v>17172703.8233</v>
      </c>
      <c r="D63" s="140"/>
      <c r="E63" s="141">
        <f t="shared" si="12"/>
        <v>0</v>
      </c>
      <c r="F63" s="141">
        <f t="shared" ca="1" si="13"/>
        <v>-71552.933000000005</v>
      </c>
      <c r="G63" s="141">
        <f t="shared" ca="1" si="14"/>
        <v>71552.933000000005</v>
      </c>
      <c r="H63" s="141">
        <f t="shared" ca="1" si="15"/>
        <v>17244256.756299999</v>
      </c>
      <c r="I63" s="288">
        <f t="shared" ca="1" si="3"/>
        <v>-17244257</v>
      </c>
      <c r="J63" s="121"/>
      <c r="K63" s="122"/>
      <c r="L63" s="122"/>
      <c r="M63" s="122"/>
      <c r="N63" s="122"/>
      <c r="O63" s="122"/>
      <c r="P63" s="123" t="str">
        <f t="shared" si="5"/>
        <v/>
      </c>
      <c r="Q63" s="1">
        <f t="shared" si="17"/>
        <v>570</v>
      </c>
      <c r="R63" s="1">
        <f t="shared" si="25"/>
        <v>581</v>
      </c>
      <c r="S63" s="1" t="str">
        <f t="shared" si="6"/>
        <v>f570</v>
      </c>
      <c r="T63" s="1" t="str">
        <f t="shared" si="7"/>
        <v>f581</v>
      </c>
      <c r="U63" s="1" t="str">
        <f t="shared" si="26"/>
        <v>G570</v>
      </c>
      <c r="V63" s="1" t="str">
        <f t="shared" si="27"/>
        <v>G581</v>
      </c>
    </row>
    <row r="64" spans="1:22">
      <c r="A64" s="140">
        <f t="shared" si="10"/>
        <v>47</v>
      </c>
      <c r="B64" s="142">
        <f t="shared" si="18"/>
        <v>47696</v>
      </c>
      <c r="C64" s="141">
        <f t="shared" ca="1" si="11"/>
        <v>17244256.756299999</v>
      </c>
      <c r="D64" s="140"/>
      <c r="E64" s="141">
        <f>IF($D$10=1,IF(MONTH(B64)=MONTH($D$7),D63-'Sch3-Perf Period Cash Flow'!G7,0),IF(MONTH(B64)=MONTH(EDATE($D$7,11)),IF(AND(H63&gt;D53,H63&lt;K20-L20), H63, MIN(D53,H63))-'Sch3-Perf Period Cash Flow'!G7,0))</f>
        <v>0</v>
      </c>
      <c r="F64" s="141">
        <f t="shared" ca="1" si="13"/>
        <v>-71851.070000000007</v>
      </c>
      <c r="G64" s="141">
        <f t="shared" ca="1" si="14"/>
        <v>71851.070000000007</v>
      </c>
      <c r="H64" s="141">
        <f t="shared" ca="1" si="15"/>
        <v>17316107.826299999</v>
      </c>
      <c r="I64" s="288">
        <f t="shared" ca="1" si="3"/>
        <v>-17316108</v>
      </c>
      <c r="J64" s="121"/>
      <c r="K64" s="122"/>
      <c r="L64" s="122"/>
      <c r="M64" s="122"/>
      <c r="N64" s="122"/>
      <c r="O64" s="122"/>
      <c r="P64" s="123" t="str">
        <f t="shared" si="5"/>
        <v/>
      </c>
      <c r="Q64" s="1">
        <f t="shared" si="17"/>
        <v>582</v>
      </c>
      <c r="R64" s="1">
        <f t="shared" si="25"/>
        <v>593</v>
      </c>
      <c r="S64" s="1" t="str">
        <f t="shared" si="6"/>
        <v>f582</v>
      </c>
      <c r="T64" s="1" t="str">
        <f t="shared" si="7"/>
        <v>f593</v>
      </c>
      <c r="U64" s="1" t="str">
        <f t="shared" si="26"/>
        <v>G582</v>
      </c>
      <c r="V64" s="1" t="str">
        <f t="shared" si="27"/>
        <v>G593</v>
      </c>
    </row>
    <row r="65" spans="1:22">
      <c r="A65" s="140">
        <f t="shared" si="10"/>
        <v>48</v>
      </c>
      <c r="B65" s="142">
        <f t="shared" si="18"/>
        <v>47727</v>
      </c>
      <c r="C65" s="141">
        <f t="shared" ca="1" si="11"/>
        <v>17316107.826299999</v>
      </c>
      <c r="D65" s="141">
        <f ca="1">IF(H65&lt;0,0,IF((H64+G65)&lt;(K21-L21),H64+G65,K21-L21))</f>
        <v>1471527</v>
      </c>
      <c r="E65" s="141">
        <f ca="1">IF($D$10=1,IF(MONTH(B65)=MONTH($D$7),D64-'Sch3-Perf Period Cash Flow'!G7,0),IF(MONTH(B65)=MONTH(EDATE($D$7,11)),MIN(D53,H64)-'Sch3-Perf Period Cash Flow'!G7,0))</f>
        <v>1442546</v>
      </c>
      <c r="F65" s="141">
        <f t="shared" ca="1" si="13"/>
        <v>1376406.159</v>
      </c>
      <c r="G65" s="141">
        <f t="shared" ca="1" si="14"/>
        <v>66139.841</v>
      </c>
      <c r="H65" s="141">
        <f t="shared" ca="1" si="15"/>
        <v>15939701.667300001</v>
      </c>
      <c r="I65" s="288">
        <f t="shared" ca="1" si="3"/>
        <v>-14468175</v>
      </c>
      <c r="J65" s="121"/>
      <c r="K65" s="122"/>
      <c r="L65" s="122"/>
      <c r="M65" s="122"/>
      <c r="N65" s="122"/>
      <c r="O65" s="122"/>
      <c r="P65" s="123" t="str">
        <f t="shared" si="5"/>
        <v/>
      </c>
      <c r="Q65" s="1">
        <f t="shared" si="17"/>
        <v>594</v>
      </c>
      <c r="R65" s="1">
        <f t="shared" si="25"/>
        <v>605</v>
      </c>
      <c r="S65" s="1" t="str">
        <f t="shared" si="6"/>
        <v>f594</v>
      </c>
      <c r="T65" s="1" t="str">
        <f t="shared" si="7"/>
        <v>f605</v>
      </c>
      <c r="U65" s="1" t="str">
        <f t="shared" si="26"/>
        <v>G594</v>
      </c>
      <c r="V65" s="1" t="str">
        <f t="shared" si="27"/>
        <v>G605</v>
      </c>
    </row>
    <row r="66" spans="1:22">
      <c r="A66" s="140">
        <f t="shared" si="10"/>
        <v>49</v>
      </c>
      <c r="B66" s="142">
        <f t="shared" si="18"/>
        <v>47757</v>
      </c>
      <c r="C66" s="141">
        <f t="shared" ca="1" si="11"/>
        <v>15939701.667300001</v>
      </c>
      <c r="D66" s="140"/>
      <c r="E66" s="141">
        <f>IF($D$10=1,IF(MONTH(B66)=MONTH($D$7),D65-'Sch3-Perf Period Cash Flow'!H7,0),IF(MONTH(B66)=MONTH(EDATE($D$7,11)),MIN(D54,H65)-'Sch3-Perf Period Cash Flow'!H7,0))</f>
        <v>0</v>
      </c>
      <c r="F66" s="141">
        <f t="shared" ca="1" si="13"/>
        <v>-66415.423999999999</v>
      </c>
      <c r="G66" s="141">
        <f t="shared" ca="1" si="14"/>
        <v>66415.423999999999</v>
      </c>
      <c r="H66" s="141">
        <f t="shared" ca="1" si="15"/>
        <v>16006117.0913</v>
      </c>
      <c r="I66" s="288">
        <f t="shared" ca="1" si="3"/>
        <v>-16006117</v>
      </c>
      <c r="J66" s="121"/>
      <c r="K66" s="122"/>
      <c r="L66" s="122"/>
      <c r="M66" s="122"/>
      <c r="N66" s="122"/>
      <c r="O66" s="122"/>
      <c r="P66" s="123" t="str">
        <f t="shared" si="5"/>
        <v/>
      </c>
      <c r="Q66" s="1">
        <f t="shared" si="17"/>
        <v>606</v>
      </c>
      <c r="R66" s="1">
        <f t="shared" si="25"/>
        <v>617</v>
      </c>
      <c r="S66" s="1" t="str">
        <f t="shared" si="6"/>
        <v>f606</v>
      </c>
      <c r="T66" s="1" t="str">
        <f t="shared" si="7"/>
        <v>f617</v>
      </c>
      <c r="U66" s="1" t="str">
        <f t="shared" si="26"/>
        <v>G606</v>
      </c>
      <c r="V66" s="1" t="str">
        <f t="shared" si="27"/>
        <v>G617</v>
      </c>
    </row>
    <row r="67" spans="1:22">
      <c r="A67" s="140">
        <f t="shared" si="10"/>
        <v>50</v>
      </c>
      <c r="B67" s="142">
        <f t="shared" si="18"/>
        <v>47788</v>
      </c>
      <c r="C67" s="141">
        <f t="shared" ca="1" si="11"/>
        <v>16006117.0913</v>
      </c>
      <c r="D67" s="141"/>
      <c r="E67" s="141">
        <f t="shared" si="12"/>
        <v>0</v>
      </c>
      <c r="F67" s="141">
        <f t="shared" ca="1" si="13"/>
        <v>-66692.154999999999</v>
      </c>
      <c r="G67" s="141">
        <f t="shared" ca="1" si="14"/>
        <v>66692.154999999999</v>
      </c>
      <c r="H67" s="141">
        <f t="shared" ca="1" si="15"/>
        <v>16072809.246300001</v>
      </c>
      <c r="I67" s="288">
        <f t="shared" ca="1" si="3"/>
        <v>-16072809</v>
      </c>
      <c r="J67" s="121"/>
      <c r="K67" s="122"/>
      <c r="L67" s="122"/>
      <c r="M67" s="122"/>
      <c r="N67" s="122"/>
      <c r="O67" s="122"/>
      <c r="P67" s="123" t="str">
        <f t="shared" si="5"/>
        <v/>
      </c>
      <c r="Q67" s="1">
        <f t="shared" si="17"/>
        <v>618</v>
      </c>
      <c r="R67" s="1">
        <f t="shared" si="25"/>
        <v>629</v>
      </c>
      <c r="S67" s="1" t="str">
        <f t="shared" si="6"/>
        <v>f618</v>
      </c>
      <c r="T67" s="1" t="str">
        <f t="shared" si="7"/>
        <v>f629</v>
      </c>
      <c r="U67" s="1" t="str">
        <f t="shared" si="26"/>
        <v>G618</v>
      </c>
      <c r="V67" s="1" t="str">
        <f t="shared" si="27"/>
        <v>G629</v>
      </c>
    </row>
    <row r="68" spans="1:22">
      <c r="A68" s="140">
        <f t="shared" si="10"/>
        <v>51</v>
      </c>
      <c r="B68" s="142">
        <f t="shared" si="18"/>
        <v>47818</v>
      </c>
      <c r="C68" s="141">
        <f t="shared" ca="1" si="11"/>
        <v>16072809.246300001</v>
      </c>
      <c r="D68" s="140"/>
      <c r="E68" s="141">
        <f t="shared" si="12"/>
        <v>0</v>
      </c>
      <c r="F68" s="141">
        <f t="shared" ca="1" si="13"/>
        <v>-66970.039000000004</v>
      </c>
      <c r="G68" s="141">
        <f t="shared" ca="1" si="14"/>
        <v>66970.039000000004</v>
      </c>
      <c r="H68" s="141">
        <f t="shared" ca="1" si="15"/>
        <v>16139779.2853</v>
      </c>
      <c r="I68" s="288">
        <f t="shared" ca="1" si="3"/>
        <v>-16139779</v>
      </c>
      <c r="J68" s="121"/>
      <c r="K68" s="122"/>
      <c r="L68" s="122"/>
      <c r="M68" s="122"/>
      <c r="N68" s="122"/>
      <c r="O68" s="122"/>
      <c r="P68" s="123" t="str">
        <f t="shared" si="5"/>
        <v/>
      </c>
      <c r="Q68" s="1">
        <f t="shared" si="17"/>
        <v>630</v>
      </c>
      <c r="R68" s="1">
        <f t="shared" si="25"/>
        <v>641</v>
      </c>
      <c r="S68" s="1" t="str">
        <f t="shared" si="6"/>
        <v>f630</v>
      </c>
      <c r="T68" s="1" t="str">
        <f t="shared" si="7"/>
        <v>f641</v>
      </c>
      <c r="U68" s="1" t="str">
        <f t="shared" si="26"/>
        <v>G630</v>
      </c>
      <c r="V68" s="1" t="str">
        <f t="shared" si="27"/>
        <v>G641</v>
      </c>
    </row>
    <row r="69" spans="1:22">
      <c r="A69" s="140">
        <f t="shared" si="10"/>
        <v>52</v>
      </c>
      <c r="B69" s="142">
        <f t="shared" si="18"/>
        <v>47849</v>
      </c>
      <c r="C69" s="141">
        <f t="shared" ca="1" si="11"/>
        <v>16139779.2853</v>
      </c>
      <c r="D69" s="140"/>
      <c r="E69" s="141">
        <f t="shared" si="12"/>
        <v>0</v>
      </c>
      <c r="F69" s="141">
        <f t="shared" ca="1" si="13"/>
        <v>-67249.08</v>
      </c>
      <c r="G69" s="141">
        <f t="shared" ca="1" si="14"/>
        <v>67249.08</v>
      </c>
      <c r="H69" s="141">
        <f t="shared" ca="1" si="15"/>
        <v>16207028.3653</v>
      </c>
      <c r="I69" s="288">
        <f t="shared" ca="1" si="3"/>
        <v>-16207028</v>
      </c>
      <c r="J69" s="121"/>
      <c r="K69" s="122"/>
      <c r="L69" s="122"/>
      <c r="M69" s="122"/>
      <c r="N69" s="122"/>
      <c r="O69" s="122"/>
      <c r="P69" s="123" t="str">
        <f t="shared" si="5"/>
        <v/>
      </c>
      <c r="Q69" s="1">
        <f t="shared" si="17"/>
        <v>642</v>
      </c>
      <c r="R69" s="1">
        <f t="shared" si="25"/>
        <v>653</v>
      </c>
      <c r="S69" s="1" t="str">
        <f t="shared" si="6"/>
        <v>f642</v>
      </c>
      <c r="T69" s="1" t="str">
        <f t="shared" si="7"/>
        <v>f653</v>
      </c>
      <c r="U69" s="1" t="str">
        <f t="shared" si="26"/>
        <v>G642</v>
      </c>
      <c r="V69" s="1" t="str">
        <f t="shared" si="27"/>
        <v>G653</v>
      </c>
    </row>
    <row r="70" spans="1:22">
      <c r="A70" s="140">
        <f t="shared" si="10"/>
        <v>53</v>
      </c>
      <c r="B70" s="142">
        <f t="shared" si="18"/>
        <v>47880</v>
      </c>
      <c r="C70" s="141">
        <f t="shared" ca="1" si="11"/>
        <v>16207028.3653</v>
      </c>
      <c r="D70" s="140"/>
      <c r="E70" s="141">
        <f t="shared" si="12"/>
        <v>0</v>
      </c>
      <c r="F70" s="141">
        <f t="shared" ca="1" si="13"/>
        <v>-67529.285000000003</v>
      </c>
      <c r="G70" s="141">
        <f t="shared" ca="1" si="14"/>
        <v>67529.285000000003</v>
      </c>
      <c r="H70" s="141">
        <f t="shared" ca="1" si="15"/>
        <v>16274557.6503</v>
      </c>
      <c r="I70" s="288">
        <f t="shared" ca="1" si="3"/>
        <v>-16274558</v>
      </c>
      <c r="J70" s="121"/>
      <c r="K70" s="122"/>
      <c r="L70" s="122"/>
      <c r="M70" s="122"/>
      <c r="N70" s="122"/>
      <c r="O70" s="122"/>
      <c r="P70" s="123" t="str">
        <f t="shared" si="5"/>
        <v/>
      </c>
      <c r="Q70" s="1">
        <f t="shared" si="17"/>
        <v>654</v>
      </c>
      <c r="R70" s="1">
        <f t="shared" si="25"/>
        <v>665</v>
      </c>
      <c r="S70" s="1" t="str">
        <f t="shared" si="6"/>
        <v>f654</v>
      </c>
      <c r="T70" s="1" t="str">
        <f t="shared" si="7"/>
        <v>f665</v>
      </c>
      <c r="U70" s="1" t="str">
        <f t="shared" si="26"/>
        <v>G654</v>
      </c>
      <c r="V70" s="1" t="str">
        <f t="shared" si="27"/>
        <v>G665</v>
      </c>
    </row>
    <row r="71" spans="1:22">
      <c r="A71" s="140">
        <f t="shared" si="10"/>
        <v>54</v>
      </c>
      <c r="B71" s="142">
        <f t="shared" si="18"/>
        <v>47908</v>
      </c>
      <c r="C71" s="141">
        <f t="shared" ca="1" si="11"/>
        <v>16274557.6503</v>
      </c>
      <c r="D71" s="140"/>
      <c r="E71" s="141">
        <f t="shared" si="12"/>
        <v>0</v>
      </c>
      <c r="F71" s="141">
        <f t="shared" ca="1" si="13"/>
        <v>-67810.657000000007</v>
      </c>
      <c r="G71" s="141">
        <f t="shared" ca="1" si="14"/>
        <v>67810.657000000007</v>
      </c>
      <c r="H71" s="141">
        <f t="shared" ca="1" si="15"/>
        <v>16342368.3073</v>
      </c>
      <c r="I71" s="288">
        <f t="shared" ca="1" si="3"/>
        <v>-16342368</v>
      </c>
      <c r="J71" s="121"/>
      <c r="K71" s="122"/>
      <c r="L71" s="122"/>
      <c r="M71" s="122"/>
      <c r="N71" s="122"/>
      <c r="O71" s="122"/>
      <c r="P71" s="123" t="str">
        <f t="shared" si="5"/>
        <v/>
      </c>
      <c r="Q71" s="1">
        <f t="shared" si="17"/>
        <v>666</v>
      </c>
      <c r="R71" s="1">
        <f t="shared" si="25"/>
        <v>677</v>
      </c>
      <c r="S71" s="1" t="str">
        <f t="shared" si="6"/>
        <v>f666</v>
      </c>
      <c r="T71" s="1" t="str">
        <f t="shared" si="7"/>
        <v>f677</v>
      </c>
      <c r="U71" s="1" t="str">
        <f t="shared" si="26"/>
        <v>G666</v>
      </c>
      <c r="V71" s="1" t="str">
        <f t="shared" si="27"/>
        <v>G677</v>
      </c>
    </row>
    <row r="72" spans="1:22">
      <c r="A72" s="140">
        <f t="shared" si="10"/>
        <v>55</v>
      </c>
      <c r="B72" s="142">
        <f t="shared" si="18"/>
        <v>47939</v>
      </c>
      <c r="C72" s="141">
        <f t="shared" ca="1" si="11"/>
        <v>16342368.3073</v>
      </c>
      <c r="D72" s="140"/>
      <c r="E72" s="141">
        <f t="shared" si="12"/>
        <v>0</v>
      </c>
      <c r="F72" s="141">
        <f t="shared" ca="1" si="13"/>
        <v>-68093.201000000001</v>
      </c>
      <c r="G72" s="141">
        <f t="shared" ca="1" si="14"/>
        <v>68093.201000000001</v>
      </c>
      <c r="H72" s="141">
        <f t="shared" ca="1" si="15"/>
        <v>16410461.508300001</v>
      </c>
      <c r="I72" s="288">
        <f t="shared" ca="1" si="3"/>
        <v>-16410462</v>
      </c>
      <c r="J72" s="121"/>
      <c r="K72" s="122"/>
      <c r="L72" s="122"/>
      <c r="M72" s="122"/>
      <c r="N72" s="122"/>
      <c r="O72" s="122"/>
      <c r="P72" s="123" t="str">
        <f t="shared" si="5"/>
        <v/>
      </c>
      <c r="Q72" s="1">
        <f t="shared" si="17"/>
        <v>678</v>
      </c>
      <c r="R72" s="1">
        <f t="shared" si="25"/>
        <v>689</v>
      </c>
      <c r="S72" s="1" t="str">
        <f t="shared" si="6"/>
        <v>f678</v>
      </c>
      <c r="T72" s="1" t="str">
        <f t="shared" si="7"/>
        <v>f689</v>
      </c>
      <c r="U72" s="1" t="str">
        <f t="shared" si="26"/>
        <v>G678</v>
      </c>
      <c r="V72" s="1" t="str">
        <f t="shared" si="27"/>
        <v>G689</v>
      </c>
    </row>
    <row r="73" spans="1:22">
      <c r="A73" s="140">
        <f t="shared" si="10"/>
        <v>56</v>
      </c>
      <c r="B73" s="142">
        <f t="shared" si="18"/>
        <v>47969</v>
      </c>
      <c r="C73" s="141">
        <f t="shared" ca="1" si="11"/>
        <v>16410461.508300001</v>
      </c>
      <c r="D73" s="140"/>
      <c r="E73" s="141">
        <f t="shared" si="12"/>
        <v>0</v>
      </c>
      <c r="F73" s="141">
        <f t="shared" ca="1" si="13"/>
        <v>-68376.922999999995</v>
      </c>
      <c r="G73" s="141">
        <f t="shared" ca="1" si="14"/>
        <v>68376.922999999995</v>
      </c>
      <c r="H73" s="141">
        <f t="shared" ca="1" si="15"/>
        <v>16478838.431299999</v>
      </c>
      <c r="I73" s="288">
        <f t="shared" ca="1" si="3"/>
        <v>-16478838</v>
      </c>
    </row>
    <row r="74" spans="1:22">
      <c r="A74" s="140">
        <f t="shared" si="10"/>
        <v>57</v>
      </c>
      <c r="B74" s="142">
        <f t="shared" si="18"/>
        <v>48000</v>
      </c>
      <c r="C74" s="141">
        <f t="shared" ca="1" si="11"/>
        <v>16478838.431299999</v>
      </c>
      <c r="D74" s="140"/>
      <c r="E74" s="141">
        <f t="shared" si="12"/>
        <v>0</v>
      </c>
      <c r="F74" s="141">
        <f t="shared" ca="1" si="13"/>
        <v>-68661.827000000005</v>
      </c>
      <c r="G74" s="141">
        <f t="shared" ca="1" si="14"/>
        <v>68661.827000000005</v>
      </c>
      <c r="H74" s="141">
        <f t="shared" ca="1" si="15"/>
        <v>16547500.258300001</v>
      </c>
      <c r="I74" s="288">
        <f t="shared" ca="1" si="3"/>
        <v>-16547500</v>
      </c>
    </row>
    <row r="75" spans="1:22">
      <c r="A75" s="140">
        <f t="shared" si="10"/>
        <v>58</v>
      </c>
      <c r="B75" s="142">
        <f t="shared" si="18"/>
        <v>48030</v>
      </c>
      <c r="C75" s="141">
        <f t="shared" ca="1" si="11"/>
        <v>16547500.258300001</v>
      </c>
      <c r="D75" s="140"/>
      <c r="E75" s="141">
        <f t="shared" si="12"/>
        <v>0</v>
      </c>
      <c r="F75" s="141">
        <f t="shared" ca="1" si="13"/>
        <v>-68947.918000000005</v>
      </c>
      <c r="G75" s="141">
        <f t="shared" ca="1" si="14"/>
        <v>68947.918000000005</v>
      </c>
      <c r="H75" s="141">
        <f t="shared" ca="1" si="15"/>
        <v>16616448.1763</v>
      </c>
      <c r="I75" s="288">
        <f t="shared" ca="1" si="3"/>
        <v>-16616448</v>
      </c>
    </row>
    <row r="76" spans="1:22">
      <c r="A76" s="140">
        <f t="shared" si="10"/>
        <v>59</v>
      </c>
      <c r="B76" s="142">
        <f t="shared" si="18"/>
        <v>48061</v>
      </c>
      <c r="C76" s="141">
        <f t="shared" ca="1" si="11"/>
        <v>16616448.1763</v>
      </c>
      <c r="D76" s="140"/>
      <c r="E76" s="141">
        <f>IF($D$10=1,IF(MONTH(B76)=MONTH($D$7),D75-'Sch3-Perf Period Cash Flow'!H7,0),IF(MONTH(B76)=MONTH(EDATE($D$7,11)),IF(AND(H75&gt;D65,H75&lt;K21-L21), H75, MIN(D65,H75))-'Sch3-Perf Period Cash Flow'!H7,0))</f>
        <v>0</v>
      </c>
      <c r="F76" s="141">
        <f t="shared" ca="1" si="13"/>
        <v>-69235.201000000001</v>
      </c>
      <c r="G76" s="141">
        <f t="shared" ca="1" si="14"/>
        <v>69235.201000000001</v>
      </c>
      <c r="H76" s="141">
        <f t="shared" ca="1" si="15"/>
        <v>16685683.3773</v>
      </c>
      <c r="I76" s="288">
        <f t="shared" ca="1" si="3"/>
        <v>-16685683</v>
      </c>
    </row>
    <row r="77" spans="1:22">
      <c r="A77" s="140">
        <f t="shared" si="10"/>
        <v>60</v>
      </c>
      <c r="B77" s="142">
        <f t="shared" si="18"/>
        <v>48092</v>
      </c>
      <c r="C77" s="141">
        <f t="shared" ca="1" si="11"/>
        <v>16685683.3773</v>
      </c>
      <c r="D77" s="141">
        <f ca="1">IF(H77&lt;0,0,IF((H76+G77)&lt;(K22-L22),H76+G77,K22-L22))</f>
        <v>1501247</v>
      </c>
      <c r="E77" s="141">
        <f ca="1">IF($D$10=1,IF(MONTH(B77)=MONTH($D$7),D76-'Sch3-Perf Period Cash Flow'!H7,0),IF(MONTH(B77)=MONTH(EDATE($D$7,11)),MIN(D65,H76)-'Sch3-Perf Period Cash Flow'!H7,0))</f>
        <v>1471526</v>
      </c>
      <c r="F77" s="141">
        <f t="shared" ca="1" si="13"/>
        <v>1408133.6780000001</v>
      </c>
      <c r="G77" s="141">
        <f t="shared" ca="1" si="14"/>
        <v>63392.322</v>
      </c>
      <c r="H77" s="141">
        <f t="shared" ca="1" si="15"/>
        <v>15277549.6993</v>
      </c>
      <c r="I77" s="288">
        <f t="shared" ca="1" si="3"/>
        <v>-13776303</v>
      </c>
    </row>
    <row r="78" spans="1:22">
      <c r="A78" s="140">
        <f t="shared" si="10"/>
        <v>61</v>
      </c>
      <c r="B78" s="142">
        <f t="shared" si="18"/>
        <v>48122</v>
      </c>
      <c r="C78" s="141">
        <f t="shared" ca="1" si="11"/>
        <v>15277549.6993</v>
      </c>
      <c r="D78" s="141"/>
      <c r="E78" s="141">
        <f>IF($D$10=1,IF(MONTH(B78)=MONTH($D$7),D77-'Sch3-Perf Period Cash Flow'!I7,0),IF(MONTH(B78)=MONTH(EDATE($D$7,11)),MIN(D66,H77)-'Sch3-Perf Period Cash Flow'!I7,0))</f>
        <v>0</v>
      </c>
      <c r="F78" s="141">
        <f t="shared" ca="1" si="13"/>
        <v>-63656.457000000002</v>
      </c>
      <c r="G78" s="141">
        <f t="shared" ca="1" si="14"/>
        <v>63656.457000000002</v>
      </c>
      <c r="H78" s="141">
        <f t="shared" ca="1" si="15"/>
        <v>15341206.156300001</v>
      </c>
      <c r="I78" s="288">
        <f t="shared" ca="1" si="3"/>
        <v>-15341206</v>
      </c>
    </row>
    <row r="79" spans="1:22">
      <c r="A79" s="140">
        <f t="shared" si="10"/>
        <v>62</v>
      </c>
      <c r="B79" s="142">
        <f t="shared" si="18"/>
        <v>48153</v>
      </c>
      <c r="C79" s="141">
        <f t="shared" ca="1" si="11"/>
        <v>15341206.156300001</v>
      </c>
      <c r="D79" s="141"/>
      <c r="E79" s="141">
        <f t="shared" si="12"/>
        <v>0</v>
      </c>
      <c r="F79" s="141">
        <f t="shared" ca="1" si="13"/>
        <v>-63921.692000000003</v>
      </c>
      <c r="G79" s="141">
        <f t="shared" ca="1" si="14"/>
        <v>63921.692000000003</v>
      </c>
      <c r="H79" s="141">
        <f t="shared" ca="1" si="15"/>
        <v>15405127.848300001</v>
      </c>
      <c r="I79" s="288">
        <f t="shared" ca="1" si="3"/>
        <v>-15405128</v>
      </c>
    </row>
    <row r="80" spans="1:22">
      <c r="A80" s="140">
        <f t="shared" si="10"/>
        <v>63</v>
      </c>
      <c r="B80" s="142">
        <f t="shared" si="18"/>
        <v>48183</v>
      </c>
      <c r="C80" s="141">
        <f t="shared" ca="1" si="11"/>
        <v>15405127.848300001</v>
      </c>
      <c r="D80" s="140"/>
      <c r="E80" s="141">
        <f t="shared" si="12"/>
        <v>0</v>
      </c>
      <c r="F80" s="141">
        <f t="shared" ca="1" si="13"/>
        <v>-64188.033000000003</v>
      </c>
      <c r="G80" s="141">
        <f t="shared" ca="1" si="14"/>
        <v>64188.033000000003</v>
      </c>
      <c r="H80" s="141">
        <f t="shared" ca="1" si="15"/>
        <v>15469315.8813</v>
      </c>
      <c r="I80" s="288">
        <f t="shared" ca="1" si="3"/>
        <v>-15469316</v>
      </c>
    </row>
    <row r="81" spans="1:9">
      <c r="A81" s="140">
        <f t="shared" si="10"/>
        <v>64</v>
      </c>
      <c r="B81" s="142">
        <f t="shared" si="18"/>
        <v>48214</v>
      </c>
      <c r="C81" s="141">
        <f t="shared" ca="1" si="11"/>
        <v>15469315.8813</v>
      </c>
      <c r="D81" s="140"/>
      <c r="E81" s="141">
        <f t="shared" si="12"/>
        <v>0</v>
      </c>
      <c r="F81" s="141">
        <f t="shared" ca="1" si="13"/>
        <v>-64455.483</v>
      </c>
      <c r="G81" s="141">
        <f t="shared" ca="1" si="14"/>
        <v>64455.483</v>
      </c>
      <c r="H81" s="141">
        <f t="shared" ca="1" si="15"/>
        <v>15533771.3643</v>
      </c>
      <c r="I81" s="288">
        <f t="shared" ca="1" si="3"/>
        <v>-15533771</v>
      </c>
    </row>
    <row r="82" spans="1:9">
      <c r="A82" s="140">
        <f t="shared" si="10"/>
        <v>65</v>
      </c>
      <c r="B82" s="142">
        <f t="shared" si="18"/>
        <v>48245</v>
      </c>
      <c r="C82" s="141">
        <f t="shared" ca="1" si="11"/>
        <v>15533771.3643</v>
      </c>
      <c r="D82" s="140"/>
      <c r="E82" s="141">
        <f t="shared" si="12"/>
        <v>0</v>
      </c>
      <c r="F82" s="141">
        <f t="shared" ref="F82:F145" ca="1" si="28">IF(E82="","",E82-G82)</f>
        <v>-64724.046999999999</v>
      </c>
      <c r="G82" s="141">
        <f t="shared" ca="1" si="14"/>
        <v>64724.046999999999</v>
      </c>
      <c r="H82" s="141">
        <f t="shared" ca="1" si="15"/>
        <v>15598495.4113</v>
      </c>
      <c r="I82" s="288">
        <f t="shared" ref="I82:I145" ca="1" si="29">ROUND((D82-H82),0)</f>
        <v>-15598495</v>
      </c>
    </row>
    <row r="83" spans="1:9">
      <c r="A83" s="140">
        <f t="shared" ref="A83:A146" si="30">IF(A82="","",IF(A82=$D$6,"",A82+1))</f>
        <v>66</v>
      </c>
      <c r="B83" s="142">
        <f t="shared" si="18"/>
        <v>48274</v>
      </c>
      <c r="C83" s="141">
        <f t="shared" ref="C83:C146" ca="1" si="31">IF(H82=0,0,H82)</f>
        <v>15598495.4113</v>
      </c>
      <c r="D83" s="140"/>
      <c r="E83" s="141">
        <f t="shared" ref="E83:E123" si="32">IF($D$10=1,IF(MONTH(B83)=MONTH($D$7),D82,0),IF(MONTH(B83)=MONTH(EDATE($D$7,11)),MIN(D71,H82),0))</f>
        <v>0</v>
      </c>
      <c r="F83" s="141">
        <f t="shared" ca="1" si="28"/>
        <v>-64993.731</v>
      </c>
      <c r="G83" s="141">
        <f t="shared" ref="G83:G146" ca="1" si="33">ROUND((C83-E83)*$D$5,3)</f>
        <v>64993.731</v>
      </c>
      <c r="H83" s="141">
        <f t="shared" ref="H83:H146" ca="1" si="34">IF(E83="","",ROUND(H82-F83,4))</f>
        <v>15663489.1423</v>
      </c>
      <c r="I83" s="288">
        <f t="shared" ca="1" si="29"/>
        <v>-15663489</v>
      </c>
    </row>
    <row r="84" spans="1:9">
      <c r="A84" s="140">
        <f t="shared" si="30"/>
        <v>67</v>
      </c>
      <c r="B84" s="142">
        <f t="shared" ref="B84:B147" si="35">DATE(YEAR(B83),MONTH(B83)+1,1)</f>
        <v>48305</v>
      </c>
      <c r="C84" s="141">
        <f t="shared" ca="1" si="31"/>
        <v>15663489.1423</v>
      </c>
      <c r="D84" s="140"/>
      <c r="E84" s="141">
        <f t="shared" si="32"/>
        <v>0</v>
      </c>
      <c r="F84" s="141">
        <f t="shared" ca="1" si="28"/>
        <v>-65264.538</v>
      </c>
      <c r="G84" s="141">
        <f t="shared" ca="1" si="33"/>
        <v>65264.538</v>
      </c>
      <c r="H84" s="141">
        <f t="shared" ca="1" si="34"/>
        <v>15728753.680299999</v>
      </c>
      <c r="I84" s="288">
        <f t="shared" ca="1" si="29"/>
        <v>-15728754</v>
      </c>
    </row>
    <row r="85" spans="1:9">
      <c r="A85" s="140">
        <f t="shared" si="30"/>
        <v>68</v>
      </c>
      <c r="B85" s="142">
        <f t="shared" si="35"/>
        <v>48335</v>
      </c>
      <c r="C85" s="141">
        <f t="shared" ca="1" si="31"/>
        <v>15728753.680299999</v>
      </c>
      <c r="D85" s="140"/>
      <c r="E85" s="141">
        <f t="shared" si="32"/>
        <v>0</v>
      </c>
      <c r="F85" s="141">
        <f t="shared" ca="1" si="28"/>
        <v>-65536.474000000002</v>
      </c>
      <c r="G85" s="141">
        <f t="shared" ca="1" si="33"/>
        <v>65536.474000000002</v>
      </c>
      <c r="H85" s="141">
        <f t="shared" ca="1" si="34"/>
        <v>15794290.154300001</v>
      </c>
      <c r="I85" s="288">
        <f t="shared" ca="1" si="29"/>
        <v>-15794290</v>
      </c>
    </row>
    <row r="86" spans="1:9">
      <c r="A86" s="140">
        <f t="shared" si="30"/>
        <v>69</v>
      </c>
      <c r="B86" s="142">
        <f t="shared" si="35"/>
        <v>48366</v>
      </c>
      <c r="C86" s="141">
        <f t="shared" ca="1" si="31"/>
        <v>15794290.154300001</v>
      </c>
      <c r="D86" s="140"/>
      <c r="E86" s="141">
        <f t="shared" si="32"/>
        <v>0</v>
      </c>
      <c r="F86" s="141">
        <f t="shared" ca="1" si="28"/>
        <v>-65809.542000000001</v>
      </c>
      <c r="G86" s="141">
        <f t="shared" ca="1" si="33"/>
        <v>65809.542000000001</v>
      </c>
      <c r="H86" s="141">
        <f t="shared" ca="1" si="34"/>
        <v>15860099.6963</v>
      </c>
      <c r="I86" s="288">
        <f t="shared" ca="1" si="29"/>
        <v>-15860100</v>
      </c>
    </row>
    <row r="87" spans="1:9">
      <c r="A87" s="140">
        <f t="shared" si="30"/>
        <v>70</v>
      </c>
      <c r="B87" s="142">
        <f t="shared" si="35"/>
        <v>48396</v>
      </c>
      <c r="C87" s="141">
        <f t="shared" ca="1" si="31"/>
        <v>15860099.6963</v>
      </c>
      <c r="D87" s="140"/>
      <c r="E87" s="141">
        <f t="shared" si="32"/>
        <v>0</v>
      </c>
      <c r="F87" s="141">
        <f t="shared" ca="1" si="28"/>
        <v>-66083.748999999996</v>
      </c>
      <c r="G87" s="141">
        <f t="shared" ca="1" si="33"/>
        <v>66083.748999999996</v>
      </c>
      <c r="H87" s="141">
        <f t="shared" ca="1" si="34"/>
        <v>15926183.4453</v>
      </c>
      <c r="I87" s="288">
        <f t="shared" ca="1" si="29"/>
        <v>-15926183</v>
      </c>
    </row>
    <row r="88" spans="1:9">
      <c r="A88" s="140">
        <f t="shared" si="30"/>
        <v>71</v>
      </c>
      <c r="B88" s="142">
        <f t="shared" si="35"/>
        <v>48427</v>
      </c>
      <c r="C88" s="141">
        <f t="shared" ca="1" si="31"/>
        <v>15926183.4453</v>
      </c>
      <c r="D88" s="140"/>
      <c r="E88" s="141">
        <f>IF($D$10=1,IF(MONTH(B88)=MONTH($D$7),D87-'Sch3-Perf Period Cash Flow'!I7,0),IF(MONTH(B88)=MONTH(EDATE($D$7,11)),IF(AND(H87&gt;D77,H87&lt;K22-L22), H87, MIN(D77,H87))-'Sch3-Perf Period Cash Flow'!I7,0))</f>
        <v>0</v>
      </c>
      <c r="F88" s="141">
        <f t="shared" ca="1" si="28"/>
        <v>-66359.097999999998</v>
      </c>
      <c r="G88" s="141">
        <f t="shared" ca="1" si="33"/>
        <v>66359.097999999998</v>
      </c>
      <c r="H88" s="141">
        <f t="shared" ca="1" si="34"/>
        <v>15992542.543299999</v>
      </c>
      <c r="I88" s="288">
        <f t="shared" ca="1" si="29"/>
        <v>-15992543</v>
      </c>
    </row>
    <row r="89" spans="1:9">
      <c r="A89" s="140">
        <f t="shared" si="30"/>
        <v>72</v>
      </c>
      <c r="B89" s="142">
        <f t="shared" si="35"/>
        <v>48458</v>
      </c>
      <c r="C89" s="141">
        <f t="shared" ca="1" si="31"/>
        <v>15992542.543299999</v>
      </c>
      <c r="D89" s="141">
        <f ca="1">IF(H89&lt;0,0,IF((H88+G89)&lt;(K23-L23),H88+G89,K23-L23))</f>
        <v>1531729</v>
      </c>
      <c r="E89" s="141">
        <f ca="1">IF($D$10=1,IF(MONTH(B89)=MONTH($D$7),D88-'Sch3-Perf Period Cash Flow'!I7,0),IF(MONTH(B89)=MONTH(EDATE($D$7,11)),MIN(D77,H88)-'Sch3-Perf Period Cash Flow'!I7,0))</f>
        <v>1501246</v>
      </c>
      <c r="F89" s="141">
        <f t="shared" ca="1" si="28"/>
        <v>1440865.598</v>
      </c>
      <c r="G89" s="141">
        <f t="shared" ca="1" si="33"/>
        <v>60380.402000000002</v>
      </c>
      <c r="H89" s="141">
        <f ca="1">IF(E89="","",ROUND(H88-F89,4))</f>
        <v>14551676.9453</v>
      </c>
      <c r="I89" s="288">
        <f t="shared" ca="1" si="29"/>
        <v>-13019948</v>
      </c>
    </row>
    <row r="90" spans="1:9">
      <c r="A90" s="140">
        <f t="shared" si="30"/>
        <v>73</v>
      </c>
      <c r="B90" s="142">
        <f t="shared" si="35"/>
        <v>48488</v>
      </c>
      <c r="C90" s="141">
        <f t="shared" ca="1" si="31"/>
        <v>14551676.9453</v>
      </c>
      <c r="D90" s="141"/>
      <c r="E90" s="141">
        <f>IF($D$10=1,IF(MONTH(B90)=MONTH($D$7),D89-'Sch3-Perf Period Cash Flow'!J7,0),IF(MONTH(B90)=MONTH(EDATE($D$7,11)),MIN(D78,H89)-'Sch3-Perf Period Cash Flow'!J7,0))</f>
        <v>0</v>
      </c>
      <c r="F90" s="141">
        <f t="shared" ca="1" si="28"/>
        <v>-60631.987000000001</v>
      </c>
      <c r="G90" s="141">
        <f t="shared" ca="1" si="33"/>
        <v>60631.987000000001</v>
      </c>
      <c r="H90" s="141">
        <f t="shared" ca="1" si="34"/>
        <v>14612308.9323</v>
      </c>
      <c r="I90" s="288">
        <f t="shared" ca="1" si="29"/>
        <v>-14612309</v>
      </c>
    </row>
    <row r="91" spans="1:9">
      <c r="A91" s="140">
        <f t="shared" si="30"/>
        <v>74</v>
      </c>
      <c r="B91" s="142">
        <f t="shared" si="35"/>
        <v>48519</v>
      </c>
      <c r="C91" s="141">
        <f t="shared" ca="1" si="31"/>
        <v>14612308.9323</v>
      </c>
      <c r="D91" s="141"/>
      <c r="E91" s="141">
        <f t="shared" si="32"/>
        <v>0</v>
      </c>
      <c r="F91" s="141">
        <f t="shared" ca="1" si="28"/>
        <v>-60884.620999999999</v>
      </c>
      <c r="G91" s="141">
        <f t="shared" ca="1" si="33"/>
        <v>60884.620999999999</v>
      </c>
      <c r="H91" s="141">
        <f t="shared" ca="1" si="34"/>
        <v>14673193.553300001</v>
      </c>
      <c r="I91" s="288">
        <f t="shared" ca="1" si="29"/>
        <v>-14673194</v>
      </c>
    </row>
    <row r="92" spans="1:9">
      <c r="A92" s="140">
        <f t="shared" si="30"/>
        <v>75</v>
      </c>
      <c r="B92" s="142">
        <f t="shared" si="35"/>
        <v>48549</v>
      </c>
      <c r="C92" s="141">
        <f t="shared" ca="1" si="31"/>
        <v>14673193.553300001</v>
      </c>
      <c r="D92" s="140"/>
      <c r="E92" s="141">
        <f t="shared" si="32"/>
        <v>0</v>
      </c>
      <c r="F92" s="141">
        <f t="shared" ca="1" si="28"/>
        <v>-61138.305999999997</v>
      </c>
      <c r="G92" s="141">
        <f t="shared" ca="1" si="33"/>
        <v>61138.305999999997</v>
      </c>
      <c r="H92" s="141">
        <f t="shared" ca="1" si="34"/>
        <v>14734331.859300001</v>
      </c>
      <c r="I92" s="288">
        <f t="shared" ca="1" si="29"/>
        <v>-14734332</v>
      </c>
    </row>
    <row r="93" spans="1:9">
      <c r="A93" s="140">
        <f t="shared" si="30"/>
        <v>76</v>
      </c>
      <c r="B93" s="142">
        <f t="shared" si="35"/>
        <v>48580</v>
      </c>
      <c r="C93" s="141">
        <f t="shared" ca="1" si="31"/>
        <v>14734331.859300001</v>
      </c>
      <c r="D93" s="140"/>
      <c r="E93" s="141">
        <f t="shared" si="32"/>
        <v>0</v>
      </c>
      <c r="F93" s="141">
        <f t="shared" ca="1" si="28"/>
        <v>-61393.048999999999</v>
      </c>
      <c r="G93" s="141">
        <f t="shared" ca="1" si="33"/>
        <v>61393.048999999999</v>
      </c>
      <c r="H93" s="141">
        <f t="shared" ca="1" si="34"/>
        <v>14795724.908299999</v>
      </c>
      <c r="I93" s="288">
        <f t="shared" ca="1" si="29"/>
        <v>-14795725</v>
      </c>
    </row>
    <row r="94" spans="1:9">
      <c r="A94" s="140">
        <f t="shared" si="30"/>
        <v>77</v>
      </c>
      <c r="B94" s="142">
        <f t="shared" si="35"/>
        <v>48611</v>
      </c>
      <c r="C94" s="141">
        <f t="shared" ca="1" si="31"/>
        <v>14795724.908299999</v>
      </c>
      <c r="D94" s="140"/>
      <c r="E94" s="141">
        <f t="shared" si="32"/>
        <v>0</v>
      </c>
      <c r="F94" s="141">
        <f t="shared" ca="1" si="28"/>
        <v>-61648.853999999999</v>
      </c>
      <c r="G94" s="141">
        <f t="shared" ca="1" si="33"/>
        <v>61648.853999999999</v>
      </c>
      <c r="H94" s="141">
        <f t="shared" ca="1" si="34"/>
        <v>14857373.7623</v>
      </c>
      <c r="I94" s="288">
        <f t="shared" ca="1" si="29"/>
        <v>-14857374</v>
      </c>
    </row>
    <row r="95" spans="1:9">
      <c r="A95" s="140">
        <f t="shared" si="30"/>
        <v>78</v>
      </c>
      <c r="B95" s="142">
        <f t="shared" si="35"/>
        <v>48639</v>
      </c>
      <c r="C95" s="141">
        <f t="shared" ca="1" si="31"/>
        <v>14857373.7623</v>
      </c>
      <c r="D95" s="140"/>
      <c r="E95" s="141">
        <f t="shared" si="32"/>
        <v>0</v>
      </c>
      <c r="F95" s="141">
        <f t="shared" ca="1" si="28"/>
        <v>-61905.724000000002</v>
      </c>
      <c r="G95" s="141">
        <f t="shared" ca="1" si="33"/>
        <v>61905.724000000002</v>
      </c>
      <c r="H95" s="141">
        <f t="shared" ca="1" si="34"/>
        <v>14919279.486300001</v>
      </c>
      <c r="I95" s="288">
        <f t="shared" ca="1" si="29"/>
        <v>-14919279</v>
      </c>
    </row>
    <row r="96" spans="1:9">
      <c r="A96" s="140">
        <f t="shared" si="30"/>
        <v>79</v>
      </c>
      <c r="B96" s="142">
        <f t="shared" si="35"/>
        <v>48670</v>
      </c>
      <c r="C96" s="141">
        <f t="shared" ca="1" si="31"/>
        <v>14919279.486300001</v>
      </c>
      <c r="D96" s="140"/>
      <c r="E96" s="141">
        <f t="shared" si="32"/>
        <v>0</v>
      </c>
      <c r="F96" s="141">
        <f t="shared" ca="1" si="28"/>
        <v>-62163.665000000001</v>
      </c>
      <c r="G96" s="141">
        <f t="shared" ca="1" si="33"/>
        <v>62163.665000000001</v>
      </c>
      <c r="H96" s="141">
        <f t="shared" ca="1" si="34"/>
        <v>14981443.1513</v>
      </c>
      <c r="I96" s="288">
        <f t="shared" ca="1" si="29"/>
        <v>-14981443</v>
      </c>
    </row>
    <row r="97" spans="1:9">
      <c r="A97" s="140">
        <f t="shared" si="30"/>
        <v>80</v>
      </c>
      <c r="B97" s="142">
        <f t="shared" si="35"/>
        <v>48700</v>
      </c>
      <c r="C97" s="141">
        <f t="shared" ca="1" si="31"/>
        <v>14981443.1513</v>
      </c>
      <c r="D97" s="140"/>
      <c r="E97" s="141">
        <f t="shared" si="32"/>
        <v>0</v>
      </c>
      <c r="F97" s="141">
        <f t="shared" ca="1" si="28"/>
        <v>-62422.68</v>
      </c>
      <c r="G97" s="141">
        <f t="shared" ca="1" si="33"/>
        <v>62422.68</v>
      </c>
      <c r="H97" s="141">
        <f t="shared" ca="1" si="34"/>
        <v>15043865.8313</v>
      </c>
      <c r="I97" s="288">
        <f t="shared" ca="1" si="29"/>
        <v>-15043866</v>
      </c>
    </row>
    <row r="98" spans="1:9">
      <c r="A98" s="140">
        <f t="shared" si="30"/>
        <v>81</v>
      </c>
      <c r="B98" s="142">
        <f t="shared" si="35"/>
        <v>48731</v>
      </c>
      <c r="C98" s="141">
        <f t="shared" ca="1" si="31"/>
        <v>15043865.8313</v>
      </c>
      <c r="D98" s="140"/>
      <c r="E98" s="141">
        <f t="shared" si="32"/>
        <v>0</v>
      </c>
      <c r="F98" s="141">
        <f t="shared" ca="1" si="28"/>
        <v>-62682.773999999998</v>
      </c>
      <c r="G98" s="141">
        <f t="shared" ca="1" si="33"/>
        <v>62682.773999999998</v>
      </c>
      <c r="H98" s="141">
        <f t="shared" ca="1" si="34"/>
        <v>15106548.6053</v>
      </c>
      <c r="I98" s="288">
        <f t="shared" ca="1" si="29"/>
        <v>-15106549</v>
      </c>
    </row>
    <row r="99" spans="1:9">
      <c r="A99" s="140">
        <f t="shared" si="30"/>
        <v>82</v>
      </c>
      <c r="B99" s="142">
        <f t="shared" si="35"/>
        <v>48761</v>
      </c>
      <c r="C99" s="141">
        <f t="shared" ca="1" si="31"/>
        <v>15106548.6053</v>
      </c>
      <c r="D99" s="140"/>
      <c r="E99" s="141">
        <f t="shared" si="32"/>
        <v>0</v>
      </c>
      <c r="F99" s="141">
        <f t="shared" ca="1" si="28"/>
        <v>-62943.953000000001</v>
      </c>
      <c r="G99" s="141">
        <f t="shared" ca="1" si="33"/>
        <v>62943.953000000001</v>
      </c>
      <c r="H99" s="141">
        <f t="shared" ca="1" si="34"/>
        <v>15169492.5583</v>
      </c>
      <c r="I99" s="288">
        <f t="shared" ca="1" si="29"/>
        <v>-15169493</v>
      </c>
    </row>
    <row r="100" spans="1:9">
      <c r="A100" s="140">
        <f t="shared" si="30"/>
        <v>83</v>
      </c>
      <c r="B100" s="142">
        <f t="shared" si="35"/>
        <v>48792</v>
      </c>
      <c r="C100" s="141">
        <f t="shared" ca="1" si="31"/>
        <v>15169492.5583</v>
      </c>
      <c r="D100" s="140"/>
      <c r="E100" s="141">
        <f>IF($D$10=1,IF(MONTH(B100)=MONTH($D$7),D99-'Sch3-Perf Period Cash Flow'!J7,0),IF(MONTH(B100)=MONTH(EDATE($D$7,11)),IF(AND(H99&gt;D89,H99&lt;K23-L23), H99, MIN(D89,H99))-'Sch3-Perf Period Cash Flow'!J7,0))</f>
        <v>0</v>
      </c>
      <c r="F100" s="141">
        <f t="shared" ca="1" si="28"/>
        <v>-63206.218999999997</v>
      </c>
      <c r="G100" s="141">
        <f t="shared" ca="1" si="33"/>
        <v>63206.218999999997</v>
      </c>
      <c r="H100" s="141">
        <f t="shared" ca="1" si="34"/>
        <v>15232698.7773</v>
      </c>
      <c r="I100" s="288">
        <f t="shared" ca="1" si="29"/>
        <v>-15232699</v>
      </c>
    </row>
    <row r="101" spans="1:9">
      <c r="A101" s="140">
        <f t="shared" si="30"/>
        <v>84</v>
      </c>
      <c r="B101" s="142">
        <f t="shared" si="35"/>
        <v>48823</v>
      </c>
      <c r="C101" s="141">
        <f t="shared" ca="1" si="31"/>
        <v>15232698.7773</v>
      </c>
      <c r="D101" s="141">
        <f ca="1">IF(H101&lt;0,0,IF((H100+G101)&lt;(K24-L24),H100+G101,K24-L24))</f>
        <v>1562995</v>
      </c>
      <c r="E101" s="141">
        <f ca="1">IF($D$10=1,IF(MONTH(B101)=MONTH($D$7),D100-'Sch3-Perf Period Cash Flow'!J7,0),IF(MONTH(B101)=MONTH(EDATE($D$7,11)),MIN(D89,H100)-'Sch3-Perf Period Cash Flow'!J7,0))</f>
        <v>1531728</v>
      </c>
      <c r="F101" s="141">
        <f t="shared" ca="1" si="28"/>
        <v>1474640.622</v>
      </c>
      <c r="G101" s="141">
        <f t="shared" ca="1" si="33"/>
        <v>57087.377999999997</v>
      </c>
      <c r="H101" s="141">
        <f t="shared" ca="1" si="34"/>
        <v>13758058.155300001</v>
      </c>
      <c r="I101" s="288">
        <f t="shared" ca="1" si="29"/>
        <v>-12195063</v>
      </c>
    </row>
    <row r="102" spans="1:9">
      <c r="A102" s="140">
        <f t="shared" si="30"/>
        <v>85</v>
      </c>
      <c r="B102" s="142">
        <f t="shared" si="35"/>
        <v>48853</v>
      </c>
      <c r="C102" s="141">
        <f t="shared" ca="1" si="31"/>
        <v>13758058.155300001</v>
      </c>
      <c r="D102" s="141"/>
      <c r="E102" s="141">
        <f>IF($D$10=1,IF(MONTH(B102)=MONTH($D$7),D101-'Sch3-Perf Period Cash Flow'!K7,0),IF(MONTH(B102)=MONTH(EDATE($D$7,11)),MIN(D90,H101)-'Sch3-Perf Period Cash Flow'!K7,0))</f>
        <v>0</v>
      </c>
      <c r="F102" s="141">
        <f t="shared" ca="1" si="28"/>
        <v>-57325.241999999998</v>
      </c>
      <c r="G102" s="141">
        <f t="shared" ca="1" si="33"/>
        <v>57325.241999999998</v>
      </c>
      <c r="H102" s="141">
        <f t="shared" ca="1" si="34"/>
        <v>13815383.397299999</v>
      </c>
      <c r="I102" s="288">
        <f t="shared" ca="1" si="29"/>
        <v>-13815383</v>
      </c>
    </row>
    <row r="103" spans="1:9">
      <c r="A103" s="140">
        <f t="shared" si="30"/>
        <v>86</v>
      </c>
      <c r="B103" s="142">
        <f t="shared" si="35"/>
        <v>48884</v>
      </c>
      <c r="C103" s="141">
        <f t="shared" ca="1" si="31"/>
        <v>13815383.397299999</v>
      </c>
      <c r="D103" s="140"/>
      <c r="E103" s="141">
        <f t="shared" si="32"/>
        <v>0</v>
      </c>
      <c r="F103" s="141">
        <f t="shared" ca="1" si="28"/>
        <v>-57564.097000000002</v>
      </c>
      <c r="G103" s="141">
        <f t="shared" ca="1" si="33"/>
        <v>57564.097000000002</v>
      </c>
      <c r="H103" s="141">
        <f t="shared" ca="1" si="34"/>
        <v>13872947.4943</v>
      </c>
      <c r="I103" s="288">
        <f t="shared" ca="1" si="29"/>
        <v>-13872947</v>
      </c>
    </row>
    <row r="104" spans="1:9">
      <c r="A104" s="140">
        <f t="shared" si="30"/>
        <v>87</v>
      </c>
      <c r="B104" s="142">
        <f t="shared" si="35"/>
        <v>48914</v>
      </c>
      <c r="C104" s="141">
        <f t="shared" ca="1" si="31"/>
        <v>13872947.4943</v>
      </c>
      <c r="D104" s="140"/>
      <c r="E104" s="141">
        <f t="shared" si="32"/>
        <v>0</v>
      </c>
      <c r="F104" s="141">
        <f t="shared" ca="1" si="28"/>
        <v>-57803.947999999997</v>
      </c>
      <c r="G104" s="141">
        <f t="shared" ca="1" si="33"/>
        <v>57803.947999999997</v>
      </c>
      <c r="H104" s="141">
        <f t="shared" ca="1" si="34"/>
        <v>13930751.442299999</v>
      </c>
      <c r="I104" s="288">
        <f t="shared" ca="1" si="29"/>
        <v>-13930751</v>
      </c>
    </row>
    <row r="105" spans="1:9">
      <c r="A105" s="140">
        <f t="shared" si="30"/>
        <v>88</v>
      </c>
      <c r="B105" s="142">
        <f t="shared" si="35"/>
        <v>48945</v>
      </c>
      <c r="C105" s="141">
        <f t="shared" ca="1" si="31"/>
        <v>13930751.442299999</v>
      </c>
      <c r="D105" s="140"/>
      <c r="E105" s="141">
        <f t="shared" si="32"/>
        <v>0</v>
      </c>
      <c r="F105" s="141">
        <f t="shared" ca="1" si="28"/>
        <v>-58044.798000000003</v>
      </c>
      <c r="G105" s="141">
        <f t="shared" ca="1" si="33"/>
        <v>58044.798000000003</v>
      </c>
      <c r="H105" s="141">
        <f t="shared" ca="1" si="34"/>
        <v>13988796.2403</v>
      </c>
      <c r="I105" s="288">
        <f t="shared" ca="1" si="29"/>
        <v>-13988796</v>
      </c>
    </row>
    <row r="106" spans="1:9">
      <c r="A106" s="140">
        <f t="shared" si="30"/>
        <v>89</v>
      </c>
      <c r="B106" s="142">
        <f t="shared" si="35"/>
        <v>48976</v>
      </c>
      <c r="C106" s="141">
        <f t="shared" ca="1" si="31"/>
        <v>13988796.2403</v>
      </c>
      <c r="D106" s="140"/>
      <c r="E106" s="141">
        <f t="shared" si="32"/>
        <v>0</v>
      </c>
      <c r="F106" s="141">
        <f t="shared" ca="1" si="28"/>
        <v>-58286.650999999998</v>
      </c>
      <c r="G106" s="141">
        <f t="shared" ca="1" si="33"/>
        <v>58286.650999999998</v>
      </c>
      <c r="H106" s="141">
        <f t="shared" ca="1" si="34"/>
        <v>14047082.8913</v>
      </c>
      <c r="I106" s="288">
        <f t="shared" ca="1" si="29"/>
        <v>-14047083</v>
      </c>
    </row>
    <row r="107" spans="1:9">
      <c r="A107" s="140">
        <f t="shared" si="30"/>
        <v>90</v>
      </c>
      <c r="B107" s="142">
        <f t="shared" si="35"/>
        <v>49004</v>
      </c>
      <c r="C107" s="141">
        <f t="shared" ca="1" si="31"/>
        <v>14047082.8913</v>
      </c>
      <c r="D107" s="140"/>
      <c r="E107" s="141">
        <f t="shared" si="32"/>
        <v>0</v>
      </c>
      <c r="F107" s="141">
        <f t="shared" ca="1" si="28"/>
        <v>-58529.512000000002</v>
      </c>
      <c r="G107" s="141">
        <f t="shared" ca="1" si="33"/>
        <v>58529.512000000002</v>
      </c>
      <c r="H107" s="141">
        <f t="shared" ca="1" si="34"/>
        <v>14105612.4033</v>
      </c>
      <c r="I107" s="288">
        <f t="shared" ca="1" si="29"/>
        <v>-14105612</v>
      </c>
    </row>
    <row r="108" spans="1:9">
      <c r="A108" s="140">
        <f t="shared" si="30"/>
        <v>91</v>
      </c>
      <c r="B108" s="142">
        <f t="shared" si="35"/>
        <v>49035</v>
      </c>
      <c r="C108" s="141">
        <f t="shared" ca="1" si="31"/>
        <v>14105612.4033</v>
      </c>
      <c r="D108" s="140"/>
      <c r="E108" s="141">
        <f t="shared" si="32"/>
        <v>0</v>
      </c>
      <c r="F108" s="141">
        <f t="shared" ca="1" si="28"/>
        <v>-58773.385000000002</v>
      </c>
      <c r="G108" s="141">
        <f t="shared" ca="1" si="33"/>
        <v>58773.385000000002</v>
      </c>
      <c r="H108" s="141">
        <f t="shared" ca="1" si="34"/>
        <v>14164385.7883</v>
      </c>
      <c r="I108" s="288">
        <f t="shared" ca="1" si="29"/>
        <v>-14164386</v>
      </c>
    </row>
    <row r="109" spans="1:9">
      <c r="A109" s="140">
        <f t="shared" si="30"/>
        <v>92</v>
      </c>
      <c r="B109" s="142">
        <f t="shared" si="35"/>
        <v>49065</v>
      </c>
      <c r="C109" s="141">
        <f t="shared" ca="1" si="31"/>
        <v>14164385.7883</v>
      </c>
      <c r="D109" s="140"/>
      <c r="E109" s="141">
        <f t="shared" si="32"/>
        <v>0</v>
      </c>
      <c r="F109" s="141">
        <f t="shared" ca="1" si="28"/>
        <v>-59018.273999999998</v>
      </c>
      <c r="G109" s="141">
        <f t="shared" ca="1" si="33"/>
        <v>59018.273999999998</v>
      </c>
      <c r="H109" s="141">
        <f t="shared" ca="1" si="34"/>
        <v>14223404.0623</v>
      </c>
      <c r="I109" s="288">
        <f t="shared" ca="1" si="29"/>
        <v>-14223404</v>
      </c>
    </row>
    <row r="110" spans="1:9">
      <c r="A110" s="140">
        <f t="shared" si="30"/>
        <v>93</v>
      </c>
      <c r="B110" s="142">
        <f t="shared" si="35"/>
        <v>49096</v>
      </c>
      <c r="C110" s="141">
        <f t="shared" ca="1" si="31"/>
        <v>14223404.0623</v>
      </c>
      <c r="D110" s="140"/>
      <c r="E110" s="141">
        <f t="shared" si="32"/>
        <v>0</v>
      </c>
      <c r="F110" s="141">
        <f t="shared" ca="1" si="28"/>
        <v>-59264.184000000001</v>
      </c>
      <c r="G110" s="141">
        <f t="shared" ca="1" si="33"/>
        <v>59264.184000000001</v>
      </c>
      <c r="H110" s="141">
        <f t="shared" ca="1" si="34"/>
        <v>14282668.246300001</v>
      </c>
      <c r="I110" s="288">
        <f t="shared" ca="1" si="29"/>
        <v>-14282668</v>
      </c>
    </row>
    <row r="111" spans="1:9">
      <c r="A111" s="140">
        <f t="shared" si="30"/>
        <v>94</v>
      </c>
      <c r="B111" s="142">
        <f t="shared" si="35"/>
        <v>49126</v>
      </c>
      <c r="C111" s="141">
        <f t="shared" ca="1" si="31"/>
        <v>14282668.246300001</v>
      </c>
      <c r="D111" s="140"/>
      <c r="E111" s="141">
        <f t="shared" si="32"/>
        <v>0</v>
      </c>
      <c r="F111" s="141">
        <f t="shared" ca="1" si="28"/>
        <v>-59511.118000000002</v>
      </c>
      <c r="G111" s="141">
        <f t="shared" ca="1" si="33"/>
        <v>59511.118000000002</v>
      </c>
      <c r="H111" s="141">
        <f t="shared" ca="1" si="34"/>
        <v>14342179.3643</v>
      </c>
      <c r="I111" s="288">
        <f t="shared" ca="1" si="29"/>
        <v>-14342179</v>
      </c>
    </row>
    <row r="112" spans="1:9">
      <c r="A112" s="140">
        <f t="shared" si="30"/>
        <v>95</v>
      </c>
      <c r="B112" s="142">
        <f t="shared" si="35"/>
        <v>49157</v>
      </c>
      <c r="C112" s="141">
        <f t="shared" ca="1" si="31"/>
        <v>14342179.3643</v>
      </c>
      <c r="D112" s="140"/>
      <c r="E112" s="141">
        <f>IF($D$10=1,IF(MONTH(B112)=MONTH($D$7),D111-'Sch3-Perf Period Cash Flow'!K7,0),IF(MONTH(B112)=MONTH(EDATE($D$7,11)),IF(AND(H111&gt;D101,H111&lt;K24-L24), H111, MIN(D101,H111))-'Sch3-Perf Period Cash Flow'!K7,0))</f>
        <v>0</v>
      </c>
      <c r="F112" s="141">
        <f t="shared" ca="1" si="28"/>
        <v>-59759.080999999998</v>
      </c>
      <c r="G112" s="141">
        <f t="shared" ca="1" si="33"/>
        <v>59759.080999999998</v>
      </c>
      <c r="H112" s="141">
        <f t="shared" ca="1" si="34"/>
        <v>14401938.4453</v>
      </c>
      <c r="I112" s="288">
        <f t="shared" ca="1" si="29"/>
        <v>-14401938</v>
      </c>
    </row>
    <row r="113" spans="1:9">
      <c r="A113" s="140">
        <f t="shared" si="30"/>
        <v>96</v>
      </c>
      <c r="B113" s="142">
        <f t="shared" si="35"/>
        <v>49188</v>
      </c>
      <c r="C113" s="141">
        <f t="shared" ca="1" si="31"/>
        <v>14401938.4453</v>
      </c>
      <c r="D113" s="141">
        <f ca="1">IF(H113&lt;0,0,IF((H112+G113)&lt;(K25-L25),H112+G113,K25-L25))</f>
        <v>1595071</v>
      </c>
      <c r="E113" s="141">
        <f ca="1">IF($D$10=1,IF(MONTH(B113)=MONTH($D$7),D112-'Sch3-Perf Period Cash Flow'!K7,0),IF(MONTH(B113)=MONTH(EDATE($D$7,11)),MIN(D101,H112)-'Sch3-Perf Period Cash Flow'!K7,0))</f>
        <v>1562994</v>
      </c>
      <c r="F113" s="141">
        <f t="shared" ca="1" si="28"/>
        <v>1509498.398</v>
      </c>
      <c r="G113" s="141">
        <f t="shared" ca="1" si="33"/>
        <v>53495.601999999999</v>
      </c>
      <c r="H113" s="141">
        <f ca="1">IF(E113="","",ROUND(H112-F113,4))</f>
        <v>12892440.0473</v>
      </c>
      <c r="I113" s="288">
        <f t="shared" ca="1" si="29"/>
        <v>-11297369</v>
      </c>
    </row>
    <row r="114" spans="1:9">
      <c r="A114" s="140">
        <f t="shared" si="30"/>
        <v>97</v>
      </c>
      <c r="B114" s="142">
        <f t="shared" si="35"/>
        <v>49218</v>
      </c>
      <c r="C114" s="141">
        <f t="shared" ca="1" si="31"/>
        <v>12892440.0473</v>
      </c>
      <c r="D114" s="141"/>
      <c r="E114" s="141">
        <f>IF($D$10=1,IF(MONTH(B114)=MONTH($D$7),D113-'Sch3-Perf Period Cash Flow'!L7,0),IF(MONTH(B114)=MONTH(EDATE($D$7,11)),MIN(D102,H113)-'Sch3-Perf Period Cash Flow'!L7,0))</f>
        <v>0</v>
      </c>
      <c r="F114" s="141">
        <f t="shared" ca="1" si="28"/>
        <v>-53718.5</v>
      </c>
      <c r="G114" s="141">
        <f t="shared" ca="1" si="33"/>
        <v>53718.5</v>
      </c>
      <c r="H114" s="141">
        <f ca="1">IF(E114="","",ROUND(H113-F114,4))</f>
        <v>12946158.5473</v>
      </c>
      <c r="I114" s="288">
        <f t="shared" ca="1" si="29"/>
        <v>-12946159</v>
      </c>
    </row>
    <row r="115" spans="1:9">
      <c r="A115" s="140">
        <f t="shared" si="30"/>
        <v>98</v>
      </c>
      <c r="B115" s="142">
        <f t="shared" si="35"/>
        <v>49249</v>
      </c>
      <c r="C115" s="141">
        <f t="shared" ca="1" si="31"/>
        <v>12946158.5473</v>
      </c>
      <c r="D115" s="140"/>
      <c r="E115" s="141">
        <f t="shared" si="32"/>
        <v>0</v>
      </c>
      <c r="F115" s="141">
        <f t="shared" ca="1" si="28"/>
        <v>-53942.326999999997</v>
      </c>
      <c r="G115" s="141">
        <f t="shared" ca="1" si="33"/>
        <v>53942.326999999997</v>
      </c>
      <c r="H115" s="141">
        <f t="shared" ca="1" si="34"/>
        <v>13000100.874299999</v>
      </c>
      <c r="I115" s="288">
        <f t="shared" ca="1" si="29"/>
        <v>-13000101</v>
      </c>
    </row>
    <row r="116" spans="1:9">
      <c r="A116" s="140">
        <f t="shared" si="30"/>
        <v>99</v>
      </c>
      <c r="B116" s="142">
        <f t="shared" si="35"/>
        <v>49279</v>
      </c>
      <c r="C116" s="141">
        <f t="shared" ca="1" si="31"/>
        <v>13000100.874299999</v>
      </c>
      <c r="D116" s="140"/>
      <c r="E116" s="141">
        <f t="shared" si="32"/>
        <v>0</v>
      </c>
      <c r="F116" s="141">
        <f t="shared" ca="1" si="28"/>
        <v>-54167.087</v>
      </c>
      <c r="G116" s="141">
        <f t="shared" ca="1" si="33"/>
        <v>54167.087</v>
      </c>
      <c r="H116" s="141">
        <f t="shared" ca="1" si="34"/>
        <v>13054267.961300001</v>
      </c>
      <c r="I116" s="288">
        <f t="shared" ca="1" si="29"/>
        <v>-13054268</v>
      </c>
    </row>
    <row r="117" spans="1:9">
      <c r="A117" s="140">
        <f t="shared" si="30"/>
        <v>100</v>
      </c>
      <c r="B117" s="142">
        <f t="shared" si="35"/>
        <v>49310</v>
      </c>
      <c r="C117" s="141">
        <f t="shared" ca="1" si="31"/>
        <v>13054267.961300001</v>
      </c>
      <c r="D117" s="140"/>
      <c r="E117" s="141">
        <f t="shared" si="32"/>
        <v>0</v>
      </c>
      <c r="F117" s="141">
        <f t="shared" ca="1" si="28"/>
        <v>-54392.783000000003</v>
      </c>
      <c r="G117" s="141">
        <f t="shared" ca="1" si="33"/>
        <v>54392.783000000003</v>
      </c>
      <c r="H117" s="141">
        <f t="shared" ca="1" si="34"/>
        <v>13108660.7443</v>
      </c>
      <c r="I117" s="288">
        <f t="shared" ca="1" si="29"/>
        <v>-13108661</v>
      </c>
    </row>
    <row r="118" spans="1:9">
      <c r="A118" s="140">
        <f t="shared" si="30"/>
        <v>101</v>
      </c>
      <c r="B118" s="142">
        <f t="shared" si="35"/>
        <v>49341</v>
      </c>
      <c r="C118" s="141">
        <f t="shared" ca="1" si="31"/>
        <v>13108660.7443</v>
      </c>
      <c r="D118" s="140"/>
      <c r="E118" s="141">
        <f t="shared" si="32"/>
        <v>0</v>
      </c>
      <c r="F118" s="141">
        <f t="shared" ca="1" si="28"/>
        <v>-54619.42</v>
      </c>
      <c r="G118" s="141">
        <f t="shared" ca="1" si="33"/>
        <v>54619.42</v>
      </c>
      <c r="H118" s="141">
        <f t="shared" ca="1" si="34"/>
        <v>13163280.1643</v>
      </c>
      <c r="I118" s="288">
        <f t="shared" ca="1" si="29"/>
        <v>-13163280</v>
      </c>
    </row>
    <row r="119" spans="1:9">
      <c r="A119" s="140">
        <f t="shared" si="30"/>
        <v>102</v>
      </c>
      <c r="B119" s="142">
        <f t="shared" si="35"/>
        <v>49369</v>
      </c>
      <c r="C119" s="141">
        <f t="shared" ca="1" si="31"/>
        <v>13163280.1643</v>
      </c>
      <c r="D119" s="140"/>
      <c r="E119" s="141">
        <f t="shared" si="32"/>
        <v>0</v>
      </c>
      <c r="F119" s="141">
        <f t="shared" ca="1" si="28"/>
        <v>-54847.000999999997</v>
      </c>
      <c r="G119" s="141">
        <f t="shared" ca="1" si="33"/>
        <v>54847.000999999997</v>
      </c>
      <c r="H119" s="141">
        <f t="shared" ca="1" si="34"/>
        <v>13218127.1653</v>
      </c>
      <c r="I119" s="288">
        <f t="shared" ca="1" si="29"/>
        <v>-13218127</v>
      </c>
    </row>
    <row r="120" spans="1:9">
      <c r="A120" s="140">
        <f t="shared" si="30"/>
        <v>103</v>
      </c>
      <c r="B120" s="142">
        <f t="shared" si="35"/>
        <v>49400</v>
      </c>
      <c r="C120" s="141">
        <f t="shared" ca="1" si="31"/>
        <v>13218127.1653</v>
      </c>
      <c r="D120" s="140"/>
      <c r="E120" s="141">
        <f t="shared" si="32"/>
        <v>0</v>
      </c>
      <c r="F120" s="141">
        <f t="shared" ca="1" si="28"/>
        <v>-55075.53</v>
      </c>
      <c r="G120" s="141">
        <f t="shared" ca="1" si="33"/>
        <v>55075.53</v>
      </c>
      <c r="H120" s="141">
        <f t="shared" ca="1" si="34"/>
        <v>13273202.6953</v>
      </c>
      <c r="I120" s="288">
        <f t="shared" ca="1" si="29"/>
        <v>-13273203</v>
      </c>
    </row>
    <row r="121" spans="1:9">
      <c r="A121" s="140">
        <f t="shared" si="30"/>
        <v>104</v>
      </c>
      <c r="B121" s="142">
        <f t="shared" si="35"/>
        <v>49430</v>
      </c>
      <c r="C121" s="141">
        <f t="shared" ca="1" si="31"/>
        <v>13273202.6953</v>
      </c>
      <c r="D121" s="140"/>
      <c r="E121" s="141">
        <f t="shared" si="32"/>
        <v>0</v>
      </c>
      <c r="F121" s="141">
        <f t="shared" ca="1" si="28"/>
        <v>-55305.010999999999</v>
      </c>
      <c r="G121" s="141">
        <f t="shared" ca="1" si="33"/>
        <v>55305.010999999999</v>
      </c>
      <c r="H121" s="141">
        <f t="shared" ca="1" si="34"/>
        <v>13328507.7063</v>
      </c>
      <c r="I121" s="288">
        <f t="shared" ca="1" si="29"/>
        <v>-13328508</v>
      </c>
    </row>
    <row r="122" spans="1:9">
      <c r="A122" s="140">
        <f t="shared" si="30"/>
        <v>105</v>
      </c>
      <c r="B122" s="142">
        <f t="shared" si="35"/>
        <v>49461</v>
      </c>
      <c r="C122" s="141">
        <f t="shared" ca="1" si="31"/>
        <v>13328507.7063</v>
      </c>
      <c r="D122" s="140"/>
      <c r="E122" s="141">
        <f t="shared" si="32"/>
        <v>0</v>
      </c>
      <c r="F122" s="141">
        <f t="shared" ca="1" si="28"/>
        <v>-55535.449000000001</v>
      </c>
      <c r="G122" s="141">
        <f t="shared" ca="1" si="33"/>
        <v>55535.449000000001</v>
      </c>
      <c r="H122" s="141">
        <f t="shared" ca="1" si="34"/>
        <v>13384043.155300001</v>
      </c>
      <c r="I122" s="288">
        <f t="shared" ca="1" si="29"/>
        <v>-13384043</v>
      </c>
    </row>
    <row r="123" spans="1:9">
      <c r="A123" s="140">
        <f t="shared" si="30"/>
        <v>106</v>
      </c>
      <c r="B123" s="142">
        <f t="shared" si="35"/>
        <v>49491</v>
      </c>
      <c r="C123" s="141">
        <f t="shared" ca="1" si="31"/>
        <v>13384043.155300001</v>
      </c>
      <c r="D123" s="140"/>
      <c r="E123" s="141">
        <f t="shared" si="32"/>
        <v>0</v>
      </c>
      <c r="F123" s="141">
        <f t="shared" ca="1" si="28"/>
        <v>-55766.845999999998</v>
      </c>
      <c r="G123" s="141">
        <f t="shared" ca="1" si="33"/>
        <v>55766.845999999998</v>
      </c>
      <c r="H123" s="141">
        <f t="shared" ca="1" si="34"/>
        <v>13439810.0013</v>
      </c>
      <c r="I123" s="288">
        <f t="shared" ca="1" si="29"/>
        <v>-13439810</v>
      </c>
    </row>
    <row r="124" spans="1:9">
      <c r="A124" s="140">
        <f t="shared" si="30"/>
        <v>107</v>
      </c>
      <c r="B124" s="142">
        <f t="shared" si="35"/>
        <v>49522</v>
      </c>
      <c r="C124" s="141">
        <f t="shared" ca="1" si="31"/>
        <v>13439810.0013</v>
      </c>
      <c r="D124" s="140"/>
      <c r="E124" s="141">
        <f>IF($D$10=1,IF(MONTH(B124)=MONTH($D$7),D123-'Sch3-Perf Period Cash Flow'!L7,0),IF(MONTH(B124)=MONTH(EDATE($D$7,11)),IF(AND(H123&gt;D113,H123&lt;K25-L25), H123, MIN(D113,H123))-'Sch3-Perf Period Cash Flow'!L7,0))</f>
        <v>0</v>
      </c>
      <c r="F124" s="141">
        <f t="shared" ca="1" si="28"/>
        <v>-55999.207999999999</v>
      </c>
      <c r="G124" s="141">
        <f t="shared" ca="1" si="33"/>
        <v>55999.207999999999</v>
      </c>
      <c r="H124" s="141">
        <f t="shared" ca="1" si="34"/>
        <v>13495809.2093</v>
      </c>
      <c r="I124" s="288">
        <f t="shared" ca="1" si="29"/>
        <v>-13495809</v>
      </c>
    </row>
    <row r="125" spans="1:9">
      <c r="A125" s="140">
        <f t="shared" si="30"/>
        <v>108</v>
      </c>
      <c r="B125" s="142">
        <f t="shared" si="35"/>
        <v>49553</v>
      </c>
      <c r="C125" s="141">
        <f t="shared" ca="1" si="31"/>
        <v>13495809.2093</v>
      </c>
      <c r="D125" s="141">
        <f ca="1">IF(H125&lt;0,0,IF((H124+G125)&lt;(K26-L26),H124+G125,K26-L26))</f>
        <v>1627983</v>
      </c>
      <c r="E125" s="141">
        <f ca="1">IF($D$10=1,IF(MONTH(B125)=MONTH($D$7),D124-'Sch3-Perf Period Cash Flow'!L7,0),IF(MONTH(B125)=MONTH(EDATE($D$7,11)),MIN(D113,H124)-'Sch3-Perf Period Cash Flow'!L7,0))</f>
        <v>1595070</v>
      </c>
      <c r="F125" s="141">
        <f t="shared" ca="1" si="28"/>
        <v>1545483.5870000001</v>
      </c>
      <c r="G125" s="141">
        <f t="shared" ca="1" si="33"/>
        <v>49586.413</v>
      </c>
      <c r="H125" s="141">
        <f ca="1">IF(E125="","",ROUND(H124-F125,4))</f>
        <v>11950325.622300001</v>
      </c>
      <c r="I125" s="288">
        <f t="shared" ca="1" si="29"/>
        <v>-10322343</v>
      </c>
    </row>
    <row r="126" spans="1:9">
      <c r="A126" s="140">
        <f t="shared" si="30"/>
        <v>109</v>
      </c>
      <c r="B126" s="142">
        <f t="shared" si="35"/>
        <v>49583</v>
      </c>
      <c r="C126" s="141">
        <f t="shared" ca="1" si="31"/>
        <v>11950325.622300001</v>
      </c>
      <c r="D126" s="141"/>
      <c r="E126" s="141">
        <f>IF($D$10=1,IF(MONTH(B126)=MONTH($D$7),D125-'Sch3-Perf Period Cash Flow'!M7,0),IF(MONTH(B126)=MONTH(EDATE($D$7,11)),MIN(D114,H125)-'Sch3-Perf Period Cash Flow'!M7,0))</f>
        <v>0</v>
      </c>
      <c r="F126" s="141">
        <f t="shared" ca="1" si="28"/>
        <v>-49793.023000000001</v>
      </c>
      <c r="G126" s="141">
        <f t="shared" ca="1" si="33"/>
        <v>49793.023000000001</v>
      </c>
      <c r="H126" s="141">
        <f t="shared" ca="1" si="34"/>
        <v>12000118.645300001</v>
      </c>
      <c r="I126" s="288">
        <f t="shared" ca="1" si="29"/>
        <v>-12000119</v>
      </c>
    </row>
    <row r="127" spans="1:9">
      <c r="A127" s="140">
        <f t="shared" si="30"/>
        <v>110</v>
      </c>
      <c r="B127" s="142">
        <f t="shared" si="35"/>
        <v>49614</v>
      </c>
      <c r="C127" s="141">
        <f t="shared" ca="1" si="31"/>
        <v>12000118.645300001</v>
      </c>
      <c r="D127" s="140"/>
      <c r="E127" s="141">
        <f t="shared" ref="E127:E190" si="36">IF($D$10=1,IF(MONTH(B127)=MONTH($D$7),D126,0),IF(MONTH(B127)=MONTH(EDATE($D$7,11)),MIN(D115,H126),0))</f>
        <v>0</v>
      </c>
      <c r="F127" s="141">
        <f t="shared" ca="1" si="28"/>
        <v>-50000.493999999999</v>
      </c>
      <c r="G127" s="141">
        <f t="shared" ca="1" si="33"/>
        <v>50000.493999999999</v>
      </c>
      <c r="H127" s="141">
        <f t="shared" ca="1" si="34"/>
        <v>12050119.1393</v>
      </c>
      <c r="I127" s="288">
        <f t="shared" ca="1" si="29"/>
        <v>-12050119</v>
      </c>
    </row>
    <row r="128" spans="1:9">
      <c r="A128" s="140">
        <f t="shared" si="30"/>
        <v>111</v>
      </c>
      <c r="B128" s="142">
        <f t="shared" si="35"/>
        <v>49644</v>
      </c>
      <c r="C128" s="141">
        <f t="shared" ca="1" si="31"/>
        <v>12050119.1393</v>
      </c>
      <c r="D128" s="140"/>
      <c r="E128" s="141">
        <f t="shared" si="36"/>
        <v>0</v>
      </c>
      <c r="F128" s="141">
        <f t="shared" ca="1" si="28"/>
        <v>-50208.83</v>
      </c>
      <c r="G128" s="141">
        <f t="shared" ca="1" si="33"/>
        <v>50208.83</v>
      </c>
      <c r="H128" s="141">
        <f t="shared" ca="1" si="34"/>
        <v>12100327.9693</v>
      </c>
      <c r="I128" s="288">
        <f t="shared" ca="1" si="29"/>
        <v>-12100328</v>
      </c>
    </row>
    <row r="129" spans="1:9">
      <c r="A129" s="140">
        <f t="shared" si="30"/>
        <v>112</v>
      </c>
      <c r="B129" s="142">
        <f t="shared" si="35"/>
        <v>49675</v>
      </c>
      <c r="C129" s="141">
        <f t="shared" ca="1" si="31"/>
        <v>12100327.9693</v>
      </c>
      <c r="D129" s="140"/>
      <c r="E129" s="141">
        <f t="shared" si="36"/>
        <v>0</v>
      </c>
      <c r="F129" s="141">
        <f t="shared" ca="1" si="28"/>
        <v>-50418.033000000003</v>
      </c>
      <c r="G129" s="141">
        <f t="shared" ca="1" si="33"/>
        <v>50418.033000000003</v>
      </c>
      <c r="H129" s="141">
        <f t="shared" ca="1" si="34"/>
        <v>12150746.0023</v>
      </c>
      <c r="I129" s="288">
        <f t="shared" ca="1" si="29"/>
        <v>-12150746</v>
      </c>
    </row>
    <row r="130" spans="1:9">
      <c r="A130" s="140">
        <f t="shared" si="30"/>
        <v>113</v>
      </c>
      <c r="B130" s="142">
        <f t="shared" si="35"/>
        <v>49706</v>
      </c>
      <c r="C130" s="141">
        <f t="shared" ca="1" si="31"/>
        <v>12150746.0023</v>
      </c>
      <c r="D130" s="140"/>
      <c r="E130" s="141">
        <f t="shared" si="36"/>
        <v>0</v>
      </c>
      <c r="F130" s="141">
        <f t="shared" ca="1" si="28"/>
        <v>-50628.108</v>
      </c>
      <c r="G130" s="141">
        <f t="shared" ca="1" si="33"/>
        <v>50628.108</v>
      </c>
      <c r="H130" s="141">
        <f t="shared" ca="1" si="34"/>
        <v>12201374.110300001</v>
      </c>
      <c r="I130" s="288">
        <f t="shared" ca="1" si="29"/>
        <v>-12201374</v>
      </c>
    </row>
    <row r="131" spans="1:9">
      <c r="A131" s="140">
        <f t="shared" si="30"/>
        <v>114</v>
      </c>
      <c r="B131" s="142">
        <f t="shared" si="35"/>
        <v>49735</v>
      </c>
      <c r="C131" s="141">
        <f t="shared" ca="1" si="31"/>
        <v>12201374.110300001</v>
      </c>
      <c r="D131" s="140"/>
      <c r="E131" s="141">
        <f t="shared" si="36"/>
        <v>0</v>
      </c>
      <c r="F131" s="141">
        <f t="shared" ca="1" si="28"/>
        <v>-50839.059000000001</v>
      </c>
      <c r="G131" s="141">
        <f t="shared" ca="1" si="33"/>
        <v>50839.059000000001</v>
      </c>
      <c r="H131" s="141">
        <f t="shared" ca="1" si="34"/>
        <v>12252213.169299999</v>
      </c>
      <c r="I131" s="288">
        <f t="shared" ca="1" si="29"/>
        <v>-12252213</v>
      </c>
    </row>
    <row r="132" spans="1:9">
      <c r="A132" s="140">
        <f t="shared" si="30"/>
        <v>115</v>
      </c>
      <c r="B132" s="142">
        <f t="shared" si="35"/>
        <v>49766</v>
      </c>
      <c r="C132" s="141">
        <f t="shared" ca="1" si="31"/>
        <v>12252213.169299999</v>
      </c>
      <c r="D132" s="140"/>
      <c r="E132" s="141">
        <f t="shared" si="36"/>
        <v>0</v>
      </c>
      <c r="F132" s="141">
        <f t="shared" ca="1" si="28"/>
        <v>-51050.887999999999</v>
      </c>
      <c r="G132" s="141">
        <f t="shared" ca="1" si="33"/>
        <v>51050.887999999999</v>
      </c>
      <c r="H132" s="141">
        <f t="shared" ca="1" si="34"/>
        <v>12303264.0573</v>
      </c>
      <c r="I132" s="288">
        <f t="shared" ca="1" si="29"/>
        <v>-12303264</v>
      </c>
    </row>
    <row r="133" spans="1:9">
      <c r="A133" s="140">
        <f t="shared" si="30"/>
        <v>116</v>
      </c>
      <c r="B133" s="142">
        <f t="shared" si="35"/>
        <v>49796</v>
      </c>
      <c r="C133" s="141">
        <f t="shared" ca="1" si="31"/>
        <v>12303264.0573</v>
      </c>
      <c r="D133" s="140"/>
      <c r="E133" s="141">
        <f t="shared" si="36"/>
        <v>0</v>
      </c>
      <c r="F133" s="141">
        <f t="shared" ca="1" si="28"/>
        <v>-51263.6</v>
      </c>
      <c r="G133" s="141">
        <f t="shared" ca="1" si="33"/>
        <v>51263.6</v>
      </c>
      <c r="H133" s="141">
        <f t="shared" ca="1" si="34"/>
        <v>12354527.657299999</v>
      </c>
      <c r="I133" s="288">
        <f t="shared" ca="1" si="29"/>
        <v>-12354528</v>
      </c>
    </row>
    <row r="134" spans="1:9">
      <c r="A134" s="140">
        <f t="shared" si="30"/>
        <v>117</v>
      </c>
      <c r="B134" s="142">
        <f t="shared" si="35"/>
        <v>49827</v>
      </c>
      <c r="C134" s="141">
        <f t="shared" ca="1" si="31"/>
        <v>12354527.657299999</v>
      </c>
      <c r="D134" s="140"/>
      <c r="E134" s="141">
        <f t="shared" si="36"/>
        <v>0</v>
      </c>
      <c r="F134" s="141">
        <f t="shared" ca="1" si="28"/>
        <v>-51477.199000000001</v>
      </c>
      <c r="G134" s="141">
        <f t="shared" ca="1" si="33"/>
        <v>51477.199000000001</v>
      </c>
      <c r="H134" s="141">
        <f t="shared" ca="1" si="34"/>
        <v>12406004.8563</v>
      </c>
      <c r="I134" s="288">
        <f t="shared" ca="1" si="29"/>
        <v>-12406005</v>
      </c>
    </row>
    <row r="135" spans="1:9">
      <c r="A135" s="140">
        <f t="shared" si="30"/>
        <v>118</v>
      </c>
      <c r="B135" s="142">
        <f t="shared" si="35"/>
        <v>49857</v>
      </c>
      <c r="C135" s="141">
        <f t="shared" ca="1" si="31"/>
        <v>12406004.8563</v>
      </c>
      <c r="D135" s="140"/>
      <c r="E135" s="141">
        <f t="shared" si="36"/>
        <v>0</v>
      </c>
      <c r="F135" s="141">
        <f t="shared" ca="1" si="28"/>
        <v>-51691.686999999998</v>
      </c>
      <c r="G135" s="141">
        <f t="shared" ca="1" si="33"/>
        <v>51691.686999999998</v>
      </c>
      <c r="H135" s="141">
        <f t="shared" ca="1" si="34"/>
        <v>12457696.543299999</v>
      </c>
      <c r="I135" s="288">
        <f t="shared" ca="1" si="29"/>
        <v>-12457697</v>
      </c>
    </row>
    <row r="136" spans="1:9">
      <c r="A136" s="140">
        <f t="shared" si="30"/>
        <v>119</v>
      </c>
      <c r="B136" s="142">
        <f t="shared" si="35"/>
        <v>49888</v>
      </c>
      <c r="C136" s="141">
        <f t="shared" ca="1" si="31"/>
        <v>12457696.543299999</v>
      </c>
      <c r="D136" s="140"/>
      <c r="E136" s="141">
        <f>IF($D$10=1,IF(MONTH(B136)=MONTH($D$7),D135-'Sch3-Perf Period Cash Flow'!M7,0),IF(MONTH(B136)=MONTH(EDATE($D$7,11)),IF(AND(H135&gt;D125,H135&lt;K26-L26), H135, MIN(D125,H135))-'Sch3-Perf Period Cash Flow'!M7,0))</f>
        <v>0</v>
      </c>
      <c r="F136" s="141">
        <f t="shared" ca="1" si="28"/>
        <v>-51907.069000000003</v>
      </c>
      <c r="G136" s="141">
        <f t="shared" ca="1" si="33"/>
        <v>51907.069000000003</v>
      </c>
      <c r="H136" s="141">
        <f t="shared" ca="1" si="34"/>
        <v>12509603.612299999</v>
      </c>
      <c r="I136" s="288">
        <f t="shared" ca="1" si="29"/>
        <v>-12509604</v>
      </c>
    </row>
    <row r="137" spans="1:9">
      <c r="A137" s="140">
        <f t="shared" si="30"/>
        <v>120</v>
      </c>
      <c r="B137" s="142">
        <f t="shared" si="35"/>
        <v>49919</v>
      </c>
      <c r="C137" s="141">
        <f t="shared" ca="1" si="31"/>
        <v>12509603.612299999</v>
      </c>
      <c r="D137" s="141">
        <f ca="1">IF(H137&lt;0,0,IF((H136+G137)&lt;(K27-L27),H136+G137,K27-L27))</f>
        <v>1661755</v>
      </c>
      <c r="E137" s="141">
        <f ca="1">IF($D$10=1,IF(MONTH(B137)=MONTH($D$7),D136-'Sch3-Perf Period Cash Flow'!M7,0),IF(MONTH(B137)=MONTH(EDATE($D$7,11)),MIN(D125,H136)-'Sch3-Perf Period Cash Flow'!M7,0))</f>
        <v>1627982</v>
      </c>
      <c r="F137" s="141">
        <f t="shared" ca="1" si="28"/>
        <v>1582641.91</v>
      </c>
      <c r="G137" s="141">
        <f t="shared" ca="1" si="33"/>
        <v>45340.09</v>
      </c>
      <c r="H137" s="141">
        <f t="shared" ca="1" si="34"/>
        <v>10926961.702299999</v>
      </c>
      <c r="I137" s="288">
        <f t="shared" ca="1" si="29"/>
        <v>-9265207</v>
      </c>
    </row>
    <row r="138" spans="1:9">
      <c r="A138" s="140">
        <f t="shared" si="30"/>
        <v>121</v>
      </c>
      <c r="B138" s="142">
        <f t="shared" si="35"/>
        <v>49949</v>
      </c>
      <c r="C138" s="141">
        <f t="shared" ca="1" si="31"/>
        <v>10926961.702299999</v>
      </c>
      <c r="D138" s="141"/>
      <c r="E138" s="141">
        <f>IF($D$10=1,IF(MONTH(B138)=MONTH($D$7),D137-'Sch3-Perf Period Cash Flow'!N7,0),IF(MONTH(B138)=MONTH(EDATE($D$7,11)),MIN(D126,H137)-'Sch3-Perf Period Cash Flow'!N7,0))</f>
        <v>0</v>
      </c>
      <c r="F138" s="141">
        <f t="shared" ca="1" si="28"/>
        <v>-45529.006999999998</v>
      </c>
      <c r="G138" s="141">
        <f t="shared" ca="1" si="33"/>
        <v>45529.006999999998</v>
      </c>
      <c r="H138" s="141">
        <f t="shared" ca="1" si="34"/>
        <v>10972490.7093</v>
      </c>
      <c r="I138" s="288">
        <f t="shared" ca="1" si="29"/>
        <v>-10972491</v>
      </c>
    </row>
    <row r="139" spans="1:9">
      <c r="A139" s="140">
        <f t="shared" si="30"/>
        <v>122</v>
      </c>
      <c r="B139" s="142">
        <f t="shared" si="35"/>
        <v>49980</v>
      </c>
      <c r="C139" s="141">
        <f t="shared" ca="1" si="31"/>
        <v>10972490.7093</v>
      </c>
      <c r="D139" s="140"/>
      <c r="E139" s="141">
        <f t="shared" si="36"/>
        <v>0</v>
      </c>
      <c r="F139" s="141">
        <f t="shared" ca="1" si="28"/>
        <v>-45718.711000000003</v>
      </c>
      <c r="G139" s="141">
        <f t="shared" ca="1" si="33"/>
        <v>45718.711000000003</v>
      </c>
      <c r="H139" s="141">
        <f t="shared" ca="1" si="34"/>
        <v>11018209.420299999</v>
      </c>
      <c r="I139" s="288">
        <f t="shared" ca="1" si="29"/>
        <v>-11018209</v>
      </c>
    </row>
    <row r="140" spans="1:9">
      <c r="A140" s="140">
        <f t="shared" si="30"/>
        <v>123</v>
      </c>
      <c r="B140" s="142">
        <f t="shared" si="35"/>
        <v>50010</v>
      </c>
      <c r="C140" s="141">
        <f t="shared" ca="1" si="31"/>
        <v>11018209.420299999</v>
      </c>
      <c r="D140" s="140"/>
      <c r="E140" s="141">
        <f t="shared" si="36"/>
        <v>0</v>
      </c>
      <c r="F140" s="141">
        <f t="shared" ca="1" si="28"/>
        <v>-45909.205999999998</v>
      </c>
      <c r="G140" s="141">
        <f t="shared" ca="1" si="33"/>
        <v>45909.205999999998</v>
      </c>
      <c r="H140" s="141">
        <f t="shared" ca="1" si="34"/>
        <v>11064118.6263</v>
      </c>
      <c r="I140" s="288">
        <f t="shared" ca="1" si="29"/>
        <v>-11064119</v>
      </c>
    </row>
    <row r="141" spans="1:9">
      <c r="A141" s="140">
        <f t="shared" si="30"/>
        <v>124</v>
      </c>
      <c r="B141" s="142">
        <f t="shared" si="35"/>
        <v>50041</v>
      </c>
      <c r="C141" s="141">
        <f t="shared" ca="1" si="31"/>
        <v>11064118.6263</v>
      </c>
      <c r="D141" s="140"/>
      <c r="E141" s="141">
        <f t="shared" si="36"/>
        <v>0</v>
      </c>
      <c r="F141" s="141">
        <f t="shared" ca="1" si="28"/>
        <v>-46100.493999999999</v>
      </c>
      <c r="G141" s="141">
        <f t="shared" ca="1" si="33"/>
        <v>46100.493999999999</v>
      </c>
      <c r="H141" s="141">
        <f t="shared" ca="1" si="34"/>
        <v>11110219.120300001</v>
      </c>
      <c r="I141" s="288">
        <f t="shared" ca="1" si="29"/>
        <v>-11110219</v>
      </c>
    </row>
    <row r="142" spans="1:9">
      <c r="A142" s="140">
        <f t="shared" si="30"/>
        <v>125</v>
      </c>
      <c r="B142" s="142">
        <f t="shared" si="35"/>
        <v>50072</v>
      </c>
      <c r="C142" s="141">
        <f t="shared" ca="1" si="31"/>
        <v>11110219.120300001</v>
      </c>
      <c r="D142" s="140"/>
      <c r="E142" s="141">
        <f t="shared" si="36"/>
        <v>0</v>
      </c>
      <c r="F142" s="141">
        <f t="shared" ca="1" si="28"/>
        <v>-46292.58</v>
      </c>
      <c r="G142" s="141">
        <f t="shared" ca="1" si="33"/>
        <v>46292.58</v>
      </c>
      <c r="H142" s="141">
        <f t="shared" ca="1" si="34"/>
        <v>11156511.700300001</v>
      </c>
      <c r="I142" s="288">
        <f t="shared" ca="1" si="29"/>
        <v>-11156512</v>
      </c>
    </row>
    <row r="143" spans="1:9">
      <c r="A143" s="140">
        <f t="shared" si="30"/>
        <v>126</v>
      </c>
      <c r="B143" s="142">
        <f t="shared" si="35"/>
        <v>50100</v>
      </c>
      <c r="C143" s="141">
        <f t="shared" ca="1" si="31"/>
        <v>11156511.700300001</v>
      </c>
      <c r="D143" s="140"/>
      <c r="E143" s="141">
        <f t="shared" si="36"/>
        <v>0</v>
      </c>
      <c r="F143" s="141">
        <f t="shared" ca="1" si="28"/>
        <v>-46485.464999999997</v>
      </c>
      <c r="G143" s="141">
        <f t="shared" ca="1" si="33"/>
        <v>46485.464999999997</v>
      </c>
      <c r="H143" s="141">
        <f t="shared" ca="1" si="34"/>
        <v>11202997.1653</v>
      </c>
      <c r="I143" s="288">
        <f t="shared" ca="1" si="29"/>
        <v>-11202997</v>
      </c>
    </row>
    <row r="144" spans="1:9">
      <c r="A144" s="140">
        <f t="shared" si="30"/>
        <v>127</v>
      </c>
      <c r="B144" s="142">
        <f t="shared" si="35"/>
        <v>50131</v>
      </c>
      <c r="C144" s="141">
        <f t="shared" ca="1" si="31"/>
        <v>11202997.1653</v>
      </c>
      <c r="D144" s="140"/>
      <c r="E144" s="141">
        <f t="shared" si="36"/>
        <v>0</v>
      </c>
      <c r="F144" s="141">
        <f t="shared" ca="1" si="28"/>
        <v>-46679.154999999999</v>
      </c>
      <c r="G144" s="141">
        <f t="shared" ca="1" si="33"/>
        <v>46679.154999999999</v>
      </c>
      <c r="H144" s="141">
        <f t="shared" ca="1" si="34"/>
        <v>11249676.3203</v>
      </c>
      <c r="I144" s="288">
        <f t="shared" ca="1" si="29"/>
        <v>-11249676</v>
      </c>
    </row>
    <row r="145" spans="1:9">
      <c r="A145" s="140">
        <f t="shared" si="30"/>
        <v>128</v>
      </c>
      <c r="B145" s="142">
        <f t="shared" si="35"/>
        <v>50161</v>
      </c>
      <c r="C145" s="141">
        <f t="shared" ca="1" si="31"/>
        <v>11249676.3203</v>
      </c>
      <c r="D145" s="140"/>
      <c r="E145" s="141">
        <f t="shared" si="36"/>
        <v>0</v>
      </c>
      <c r="F145" s="141">
        <f t="shared" ca="1" si="28"/>
        <v>-46873.650999999998</v>
      </c>
      <c r="G145" s="141">
        <f t="shared" ca="1" si="33"/>
        <v>46873.650999999998</v>
      </c>
      <c r="H145" s="141">
        <f t="shared" ca="1" si="34"/>
        <v>11296549.9713</v>
      </c>
      <c r="I145" s="288">
        <f t="shared" ca="1" si="29"/>
        <v>-11296550</v>
      </c>
    </row>
    <row r="146" spans="1:9">
      <c r="A146" s="140">
        <f t="shared" si="30"/>
        <v>129</v>
      </c>
      <c r="B146" s="142">
        <f t="shared" si="35"/>
        <v>50192</v>
      </c>
      <c r="C146" s="141">
        <f t="shared" ca="1" si="31"/>
        <v>11296549.9713</v>
      </c>
      <c r="D146" s="140"/>
      <c r="E146" s="141">
        <f t="shared" si="36"/>
        <v>0</v>
      </c>
      <c r="F146" s="141">
        <f t="shared" ref="F146:F209" ca="1" si="37">IF(E146="","",E146-G146)</f>
        <v>-47068.957999999999</v>
      </c>
      <c r="G146" s="141">
        <f t="shared" ca="1" si="33"/>
        <v>47068.957999999999</v>
      </c>
      <c r="H146" s="141">
        <f t="shared" ca="1" si="34"/>
        <v>11343618.929300001</v>
      </c>
      <c r="I146" s="288">
        <f t="shared" ref="I146:I209" ca="1" si="38">ROUND((D146-H146),0)</f>
        <v>-11343619</v>
      </c>
    </row>
    <row r="147" spans="1:9">
      <c r="A147" s="140">
        <f t="shared" ref="A147:A210" si="39">IF(A146="","",IF(A146=$D$6,"",A146+1))</f>
        <v>130</v>
      </c>
      <c r="B147" s="142">
        <f t="shared" si="35"/>
        <v>50222</v>
      </c>
      <c r="C147" s="141">
        <f t="shared" ref="C147:C210" ca="1" si="40">IF(H146=0,0,H146)</f>
        <v>11343618.929300001</v>
      </c>
      <c r="D147" s="140"/>
      <c r="E147" s="141">
        <f t="shared" si="36"/>
        <v>0</v>
      </c>
      <c r="F147" s="141">
        <f t="shared" ca="1" si="37"/>
        <v>-47265.078999999998</v>
      </c>
      <c r="G147" s="141">
        <f t="shared" ref="G147:G210" ca="1" si="41">ROUND((C147-E147)*$D$5,3)</f>
        <v>47265.078999999998</v>
      </c>
      <c r="H147" s="141">
        <f t="shared" ref="H147:H210" ca="1" si="42">IF(E147="","",ROUND(H146-F147,4))</f>
        <v>11390884.008300001</v>
      </c>
      <c r="I147" s="288">
        <f t="shared" ca="1" si="38"/>
        <v>-11390884</v>
      </c>
    </row>
    <row r="148" spans="1:9">
      <c r="A148" s="140">
        <f t="shared" si="39"/>
        <v>131</v>
      </c>
      <c r="B148" s="142">
        <f t="shared" ref="B148:B211" si="43">DATE(YEAR(B147),MONTH(B147)+1,1)</f>
        <v>50253</v>
      </c>
      <c r="C148" s="141">
        <f t="shared" ca="1" si="40"/>
        <v>11390884.008300001</v>
      </c>
      <c r="D148" s="140"/>
      <c r="E148" s="141">
        <f>IF($D$10=1,IF(MONTH(B148)=MONTH($D$7),D147-'Sch3-Perf Period Cash Flow'!N7,0),IF(MONTH(B148)=MONTH(EDATE($D$7,11)),IF(AND(H147&gt;D137,H147&lt;K27-L27), H147, MIN(D137,H147))-'Sch3-Perf Period Cash Flow'!N7,0))</f>
        <v>0</v>
      </c>
      <c r="F148" s="141">
        <f t="shared" ca="1" si="37"/>
        <v>-47462.017</v>
      </c>
      <c r="G148" s="141">
        <f t="shared" ca="1" si="41"/>
        <v>47462.017</v>
      </c>
      <c r="H148" s="141">
        <f t="shared" ca="1" si="42"/>
        <v>11438346.0253</v>
      </c>
      <c r="I148" s="288">
        <f t="shared" ca="1" si="38"/>
        <v>-11438346</v>
      </c>
    </row>
    <row r="149" spans="1:9">
      <c r="A149" s="140">
        <f t="shared" si="39"/>
        <v>132</v>
      </c>
      <c r="B149" s="142">
        <f t="shared" si="43"/>
        <v>50284</v>
      </c>
      <c r="C149" s="141">
        <f t="shared" ca="1" si="40"/>
        <v>11438346.0253</v>
      </c>
      <c r="D149" s="141">
        <f ca="1">IF(H149&lt;0,0,IF((H148+G149)&lt;(K28-L28),H148+G149,K28-L28))</f>
        <v>1696413</v>
      </c>
      <c r="E149" s="141">
        <f ca="1">IF($D$10=1,IF(MONTH(B149)=MONTH($D$7),D148-'Sch3-Perf Period Cash Flow'!N7,0),IF(MONTH(B149)=MONTH(EDATE($D$7,11)),MIN(D137,H148)-'Sch3-Perf Period Cash Flow'!N7,0))</f>
        <v>1661754</v>
      </c>
      <c r="F149" s="141">
        <f t="shared" ca="1" si="37"/>
        <v>1621018.2</v>
      </c>
      <c r="G149" s="141">
        <f t="shared" ca="1" si="41"/>
        <v>40735.800000000003</v>
      </c>
      <c r="H149" s="141">
        <f t="shared" ca="1" si="42"/>
        <v>9817327.8253000006</v>
      </c>
      <c r="I149" s="288">
        <f t="shared" ca="1" si="38"/>
        <v>-8120915</v>
      </c>
    </row>
    <row r="150" spans="1:9">
      <c r="A150" s="140">
        <f t="shared" si="39"/>
        <v>133</v>
      </c>
      <c r="B150" s="142">
        <f t="shared" si="43"/>
        <v>50314</v>
      </c>
      <c r="C150" s="141">
        <f t="shared" ca="1" si="40"/>
        <v>9817327.8253000006</v>
      </c>
      <c r="D150" s="141"/>
      <c r="E150" s="141">
        <f>IF($D$10=1,IF(MONTH(B150)=MONTH($D$7),D149-'Sch3-Perf Period Cash Flow'!O7,0),IF(MONTH(B150)=MONTH(EDATE($D$7,11)),MIN(D138,H149)-'Sch3-Perf Period Cash Flow'!O7,0))</f>
        <v>0</v>
      </c>
      <c r="F150" s="141">
        <f t="shared" ca="1" si="37"/>
        <v>-40905.533000000003</v>
      </c>
      <c r="G150" s="141">
        <f t="shared" ca="1" si="41"/>
        <v>40905.533000000003</v>
      </c>
      <c r="H150" s="141">
        <f t="shared" ca="1" si="42"/>
        <v>9858233.3583000004</v>
      </c>
      <c r="I150" s="288">
        <f t="shared" ca="1" si="38"/>
        <v>-9858233</v>
      </c>
    </row>
    <row r="151" spans="1:9">
      <c r="A151" s="140">
        <f t="shared" si="39"/>
        <v>134</v>
      </c>
      <c r="B151" s="142">
        <f t="shared" si="43"/>
        <v>50345</v>
      </c>
      <c r="C151" s="141">
        <f t="shared" ca="1" si="40"/>
        <v>9858233.3583000004</v>
      </c>
      <c r="D151" s="140"/>
      <c r="E151" s="141">
        <f t="shared" si="36"/>
        <v>0</v>
      </c>
      <c r="F151" s="141">
        <f t="shared" ca="1" si="37"/>
        <v>-41075.972000000002</v>
      </c>
      <c r="G151" s="141">
        <f t="shared" ca="1" si="41"/>
        <v>41075.972000000002</v>
      </c>
      <c r="H151" s="141">
        <f t="shared" ca="1" si="42"/>
        <v>9899309.3302999996</v>
      </c>
      <c r="I151" s="288">
        <f t="shared" ca="1" si="38"/>
        <v>-9899309</v>
      </c>
    </row>
    <row r="152" spans="1:9">
      <c r="A152" s="140">
        <f t="shared" si="39"/>
        <v>135</v>
      </c>
      <c r="B152" s="142">
        <f t="shared" si="43"/>
        <v>50375</v>
      </c>
      <c r="C152" s="141">
        <f t="shared" ca="1" si="40"/>
        <v>9899309.3302999996</v>
      </c>
      <c r="D152" s="140"/>
      <c r="E152" s="141">
        <f t="shared" si="36"/>
        <v>0</v>
      </c>
      <c r="F152" s="141">
        <f t="shared" ca="1" si="37"/>
        <v>-41247.122000000003</v>
      </c>
      <c r="G152" s="141">
        <f t="shared" ca="1" si="41"/>
        <v>41247.122000000003</v>
      </c>
      <c r="H152" s="141">
        <f t="shared" ca="1" si="42"/>
        <v>9940556.4522999991</v>
      </c>
      <c r="I152" s="288">
        <f t="shared" ca="1" si="38"/>
        <v>-9940556</v>
      </c>
    </row>
    <row r="153" spans="1:9">
      <c r="A153" s="140">
        <f t="shared" si="39"/>
        <v>136</v>
      </c>
      <c r="B153" s="142">
        <f t="shared" si="43"/>
        <v>50406</v>
      </c>
      <c r="C153" s="141">
        <f t="shared" ca="1" si="40"/>
        <v>9940556.4522999991</v>
      </c>
      <c r="D153" s="140"/>
      <c r="E153" s="141">
        <f t="shared" si="36"/>
        <v>0</v>
      </c>
      <c r="F153" s="141">
        <f t="shared" ca="1" si="37"/>
        <v>-41418.985000000001</v>
      </c>
      <c r="G153" s="141">
        <f t="shared" ca="1" si="41"/>
        <v>41418.985000000001</v>
      </c>
      <c r="H153" s="141">
        <f t="shared" ca="1" si="42"/>
        <v>9981975.4373000003</v>
      </c>
      <c r="I153" s="288">
        <f t="shared" ca="1" si="38"/>
        <v>-9981975</v>
      </c>
    </row>
    <row r="154" spans="1:9">
      <c r="A154" s="140">
        <f t="shared" si="39"/>
        <v>137</v>
      </c>
      <c r="B154" s="142">
        <f t="shared" si="43"/>
        <v>50437</v>
      </c>
      <c r="C154" s="141">
        <f t="shared" ca="1" si="40"/>
        <v>9981975.4373000003</v>
      </c>
      <c r="D154" s="140"/>
      <c r="E154" s="141">
        <f t="shared" si="36"/>
        <v>0</v>
      </c>
      <c r="F154" s="141">
        <f t="shared" ca="1" si="37"/>
        <v>-41591.563999999998</v>
      </c>
      <c r="G154" s="141">
        <f t="shared" ca="1" si="41"/>
        <v>41591.563999999998</v>
      </c>
      <c r="H154" s="141">
        <f t="shared" ca="1" si="42"/>
        <v>10023567.0013</v>
      </c>
      <c r="I154" s="288">
        <f t="shared" ca="1" si="38"/>
        <v>-10023567</v>
      </c>
    </row>
    <row r="155" spans="1:9">
      <c r="A155" s="140">
        <f t="shared" si="39"/>
        <v>138</v>
      </c>
      <c r="B155" s="142">
        <f t="shared" si="43"/>
        <v>50465</v>
      </c>
      <c r="C155" s="141">
        <f t="shared" ca="1" si="40"/>
        <v>10023567.0013</v>
      </c>
      <c r="D155" s="140"/>
      <c r="E155" s="141">
        <f t="shared" si="36"/>
        <v>0</v>
      </c>
      <c r="F155" s="141">
        <f t="shared" ca="1" si="37"/>
        <v>-41764.862999999998</v>
      </c>
      <c r="G155" s="141">
        <f t="shared" ca="1" si="41"/>
        <v>41764.862999999998</v>
      </c>
      <c r="H155" s="141">
        <f t="shared" ca="1" si="42"/>
        <v>10065331.8643</v>
      </c>
      <c r="I155" s="288">
        <f t="shared" ca="1" si="38"/>
        <v>-10065332</v>
      </c>
    </row>
    <row r="156" spans="1:9">
      <c r="A156" s="140">
        <f t="shared" si="39"/>
        <v>139</v>
      </c>
      <c r="B156" s="142">
        <f t="shared" si="43"/>
        <v>50496</v>
      </c>
      <c r="C156" s="141">
        <f t="shared" ca="1" si="40"/>
        <v>10065331.8643</v>
      </c>
      <c r="D156" s="140"/>
      <c r="E156" s="141">
        <f t="shared" si="36"/>
        <v>0</v>
      </c>
      <c r="F156" s="141">
        <f t="shared" ca="1" si="37"/>
        <v>-41938.883000000002</v>
      </c>
      <c r="G156" s="141">
        <f t="shared" ca="1" si="41"/>
        <v>41938.883000000002</v>
      </c>
      <c r="H156" s="141">
        <f t="shared" ca="1" si="42"/>
        <v>10107270.747300001</v>
      </c>
      <c r="I156" s="288">
        <f t="shared" ca="1" si="38"/>
        <v>-10107271</v>
      </c>
    </row>
    <row r="157" spans="1:9">
      <c r="A157" s="140">
        <f t="shared" si="39"/>
        <v>140</v>
      </c>
      <c r="B157" s="142">
        <f t="shared" si="43"/>
        <v>50526</v>
      </c>
      <c r="C157" s="141">
        <f t="shared" ca="1" si="40"/>
        <v>10107270.747300001</v>
      </c>
      <c r="D157" s="140"/>
      <c r="E157" s="141">
        <f t="shared" si="36"/>
        <v>0</v>
      </c>
      <c r="F157" s="141">
        <f t="shared" ca="1" si="37"/>
        <v>-42113.627999999997</v>
      </c>
      <c r="G157" s="141">
        <f t="shared" ca="1" si="41"/>
        <v>42113.627999999997</v>
      </c>
      <c r="H157" s="141">
        <f t="shared" ca="1" si="42"/>
        <v>10149384.375299999</v>
      </c>
      <c r="I157" s="288">
        <f t="shared" ca="1" si="38"/>
        <v>-10149384</v>
      </c>
    </row>
    <row r="158" spans="1:9">
      <c r="A158" s="140">
        <f t="shared" si="39"/>
        <v>141</v>
      </c>
      <c r="B158" s="142">
        <f t="shared" si="43"/>
        <v>50557</v>
      </c>
      <c r="C158" s="141">
        <f t="shared" ca="1" si="40"/>
        <v>10149384.375299999</v>
      </c>
      <c r="D158" s="140"/>
      <c r="E158" s="141">
        <f t="shared" si="36"/>
        <v>0</v>
      </c>
      <c r="F158" s="141">
        <f t="shared" ca="1" si="37"/>
        <v>-42289.101999999999</v>
      </c>
      <c r="G158" s="141">
        <f t="shared" ca="1" si="41"/>
        <v>42289.101999999999</v>
      </c>
      <c r="H158" s="141">
        <f t="shared" ca="1" si="42"/>
        <v>10191673.477299999</v>
      </c>
      <c r="I158" s="288">
        <f t="shared" ca="1" si="38"/>
        <v>-10191673</v>
      </c>
    </row>
    <row r="159" spans="1:9">
      <c r="A159" s="140">
        <f t="shared" si="39"/>
        <v>142</v>
      </c>
      <c r="B159" s="142">
        <f t="shared" si="43"/>
        <v>50587</v>
      </c>
      <c r="C159" s="141">
        <f t="shared" ca="1" si="40"/>
        <v>10191673.477299999</v>
      </c>
      <c r="D159" s="140"/>
      <c r="E159" s="141">
        <f t="shared" si="36"/>
        <v>0</v>
      </c>
      <c r="F159" s="141">
        <f t="shared" ca="1" si="37"/>
        <v>-42465.305999999997</v>
      </c>
      <c r="G159" s="141">
        <f t="shared" ca="1" si="41"/>
        <v>42465.305999999997</v>
      </c>
      <c r="H159" s="141">
        <f t="shared" ca="1" si="42"/>
        <v>10234138.783299999</v>
      </c>
      <c r="I159" s="288">
        <f t="shared" ca="1" si="38"/>
        <v>-10234139</v>
      </c>
    </row>
    <row r="160" spans="1:9">
      <c r="A160" s="140">
        <f t="shared" si="39"/>
        <v>143</v>
      </c>
      <c r="B160" s="142">
        <f t="shared" si="43"/>
        <v>50618</v>
      </c>
      <c r="C160" s="141">
        <f t="shared" ca="1" si="40"/>
        <v>10234138.783299999</v>
      </c>
      <c r="D160" s="140"/>
      <c r="E160" s="141">
        <f>IF($D$10=1,IF(MONTH(B160)=MONTH($D$7),D159-'Sch3-Perf Period Cash Flow'!O7,0),IF(MONTH(B160)=MONTH(EDATE($D$7,11)),IF(AND(H159&gt;D149,H159&lt;K28-L28), H159, MIN(D149,H159))-'Sch3-Perf Period Cash Flow'!O7,0))</f>
        <v>0</v>
      </c>
      <c r="F160" s="141">
        <f t="shared" ca="1" si="37"/>
        <v>-42642.245000000003</v>
      </c>
      <c r="G160" s="141">
        <f t="shared" ca="1" si="41"/>
        <v>42642.245000000003</v>
      </c>
      <c r="H160" s="141">
        <f t="shared" ca="1" si="42"/>
        <v>10276781.0283</v>
      </c>
      <c r="I160" s="288">
        <f t="shared" ca="1" si="38"/>
        <v>-10276781</v>
      </c>
    </row>
    <row r="161" spans="1:9">
      <c r="A161" s="140">
        <f t="shared" si="39"/>
        <v>144</v>
      </c>
      <c r="B161" s="142">
        <f t="shared" si="43"/>
        <v>50649</v>
      </c>
      <c r="C161" s="141">
        <f t="shared" ca="1" si="40"/>
        <v>10276781.0283</v>
      </c>
      <c r="D161" s="141">
        <f ca="1">IF(H161&lt;0,0,IF((H160+G161)&lt;(K29-L29),H160+G161,K29-L29))</f>
        <v>1731986</v>
      </c>
      <c r="E161" s="141">
        <f ca="1">IF($D$10=1,IF(MONTH(B161)=MONTH($D$7),D160-'Sch3-Perf Period Cash Flow'!O7,0),IF(MONTH(B161)=MONTH(EDATE($D$7,11)),MIN(D149,H160)-'Sch3-Perf Period Cash Flow'!O7,0))</f>
        <v>1696412</v>
      </c>
      <c r="F161" s="141">
        <f t="shared" ca="1" si="37"/>
        <v>1660660.4620000001</v>
      </c>
      <c r="G161" s="141">
        <f t="shared" ca="1" si="41"/>
        <v>35751.538</v>
      </c>
      <c r="H161" s="141">
        <f t="shared" ca="1" si="42"/>
        <v>8616120.5662999991</v>
      </c>
      <c r="I161" s="288">
        <f t="shared" ca="1" si="38"/>
        <v>-6884135</v>
      </c>
    </row>
    <row r="162" spans="1:9">
      <c r="A162" s="140">
        <f t="shared" si="39"/>
        <v>145</v>
      </c>
      <c r="B162" s="142">
        <f t="shared" si="43"/>
        <v>50679</v>
      </c>
      <c r="C162" s="141">
        <f t="shared" ca="1" si="40"/>
        <v>8616120.5662999991</v>
      </c>
      <c r="D162" s="141"/>
      <c r="E162" s="141">
        <f>IF($D$10=1,IF(MONTH(B162)=MONTH($D$7),D161-'Sch3-Perf Period Cash Flow'!P7,0),IF(MONTH(B162)=MONTH(EDATE($D$7,11)),MIN(D150,H161)-'Sch3-Perf Period Cash Flow'!P7,0))</f>
        <v>0</v>
      </c>
      <c r="F162" s="141">
        <f t="shared" ca="1" si="37"/>
        <v>-35900.502</v>
      </c>
      <c r="G162" s="141">
        <f t="shared" ca="1" si="41"/>
        <v>35900.502</v>
      </c>
      <c r="H162" s="141">
        <f t="shared" ca="1" si="42"/>
        <v>8652021.0682999995</v>
      </c>
      <c r="I162" s="288">
        <f t="shared" ca="1" si="38"/>
        <v>-8652021</v>
      </c>
    </row>
    <row r="163" spans="1:9">
      <c r="A163" s="140">
        <f t="shared" si="39"/>
        <v>146</v>
      </c>
      <c r="B163" s="142">
        <f t="shared" si="43"/>
        <v>50710</v>
      </c>
      <c r="C163" s="141">
        <f t="shared" ca="1" si="40"/>
        <v>8652021.0682999995</v>
      </c>
      <c r="D163" s="141"/>
      <c r="E163" s="141">
        <f t="shared" si="36"/>
        <v>0</v>
      </c>
      <c r="F163" s="141">
        <f t="shared" ca="1" si="37"/>
        <v>-36050.088000000003</v>
      </c>
      <c r="G163" s="141">
        <f t="shared" ca="1" si="41"/>
        <v>36050.088000000003</v>
      </c>
      <c r="H163" s="141">
        <f t="shared" ca="1" si="42"/>
        <v>8688071.1563000008</v>
      </c>
      <c r="I163" s="288">
        <f t="shared" ca="1" si="38"/>
        <v>-8688071</v>
      </c>
    </row>
    <row r="164" spans="1:9">
      <c r="A164" s="140">
        <f t="shared" si="39"/>
        <v>147</v>
      </c>
      <c r="B164" s="142">
        <f t="shared" si="43"/>
        <v>50740</v>
      </c>
      <c r="C164" s="141">
        <f t="shared" ca="1" si="40"/>
        <v>8688071.1563000008</v>
      </c>
      <c r="D164" s="140"/>
      <c r="E164" s="141">
        <f t="shared" si="36"/>
        <v>0</v>
      </c>
      <c r="F164" s="141">
        <f t="shared" ca="1" si="37"/>
        <v>-36200.296000000002</v>
      </c>
      <c r="G164" s="141">
        <f t="shared" ca="1" si="41"/>
        <v>36200.296000000002</v>
      </c>
      <c r="H164" s="141">
        <f t="shared" ca="1" si="42"/>
        <v>8724271.4522999991</v>
      </c>
      <c r="I164" s="288">
        <f t="shared" ca="1" si="38"/>
        <v>-8724271</v>
      </c>
    </row>
    <row r="165" spans="1:9">
      <c r="A165" s="140">
        <f t="shared" si="39"/>
        <v>148</v>
      </c>
      <c r="B165" s="142">
        <f t="shared" si="43"/>
        <v>50771</v>
      </c>
      <c r="C165" s="141">
        <f t="shared" ca="1" si="40"/>
        <v>8724271.4522999991</v>
      </c>
      <c r="D165" s="140"/>
      <c r="E165" s="141">
        <f t="shared" si="36"/>
        <v>0</v>
      </c>
      <c r="F165" s="141">
        <f t="shared" ca="1" si="37"/>
        <v>-36351.131000000001</v>
      </c>
      <c r="G165" s="141">
        <f t="shared" ca="1" si="41"/>
        <v>36351.131000000001</v>
      </c>
      <c r="H165" s="141">
        <f t="shared" ca="1" si="42"/>
        <v>8760622.5833000001</v>
      </c>
      <c r="I165" s="288">
        <f t="shared" ca="1" si="38"/>
        <v>-8760623</v>
      </c>
    </row>
    <row r="166" spans="1:9">
      <c r="A166" s="140">
        <f t="shared" si="39"/>
        <v>149</v>
      </c>
      <c r="B166" s="142">
        <f t="shared" si="43"/>
        <v>50802</v>
      </c>
      <c r="C166" s="141">
        <f t="shared" ca="1" si="40"/>
        <v>8760622.5833000001</v>
      </c>
      <c r="D166" s="140"/>
      <c r="E166" s="141">
        <f t="shared" si="36"/>
        <v>0</v>
      </c>
      <c r="F166" s="141">
        <f t="shared" ca="1" si="37"/>
        <v>-36502.593999999997</v>
      </c>
      <c r="G166" s="141">
        <f t="shared" ca="1" si="41"/>
        <v>36502.593999999997</v>
      </c>
      <c r="H166" s="141">
        <f t="shared" ca="1" si="42"/>
        <v>8797125.1773000006</v>
      </c>
      <c r="I166" s="288">
        <f t="shared" ca="1" si="38"/>
        <v>-8797125</v>
      </c>
    </row>
    <row r="167" spans="1:9">
      <c r="A167" s="140">
        <f t="shared" si="39"/>
        <v>150</v>
      </c>
      <c r="B167" s="142">
        <f t="shared" si="43"/>
        <v>50830</v>
      </c>
      <c r="C167" s="141">
        <f t="shared" ca="1" si="40"/>
        <v>8797125.1773000006</v>
      </c>
      <c r="D167" s="140"/>
      <c r="E167" s="141">
        <f t="shared" si="36"/>
        <v>0</v>
      </c>
      <c r="F167" s="141">
        <f t="shared" ca="1" si="37"/>
        <v>-36654.688000000002</v>
      </c>
      <c r="G167" s="141">
        <f t="shared" ca="1" si="41"/>
        <v>36654.688000000002</v>
      </c>
      <c r="H167" s="141">
        <f t="shared" ca="1" si="42"/>
        <v>8833779.8652999997</v>
      </c>
      <c r="I167" s="288">
        <f t="shared" ca="1" si="38"/>
        <v>-8833780</v>
      </c>
    </row>
    <row r="168" spans="1:9">
      <c r="A168" s="140">
        <f t="shared" si="39"/>
        <v>151</v>
      </c>
      <c r="B168" s="142">
        <f t="shared" si="43"/>
        <v>50861</v>
      </c>
      <c r="C168" s="141">
        <f t="shared" ca="1" si="40"/>
        <v>8833779.8652999997</v>
      </c>
      <c r="D168" s="140"/>
      <c r="E168" s="141">
        <f t="shared" si="36"/>
        <v>0</v>
      </c>
      <c r="F168" s="141">
        <f t="shared" ca="1" si="37"/>
        <v>-36807.415999999997</v>
      </c>
      <c r="G168" s="141">
        <f t="shared" ca="1" si="41"/>
        <v>36807.415999999997</v>
      </c>
      <c r="H168" s="141">
        <f t="shared" ca="1" si="42"/>
        <v>8870587.2813000008</v>
      </c>
      <c r="I168" s="288">
        <f t="shared" ca="1" si="38"/>
        <v>-8870587</v>
      </c>
    </row>
    <row r="169" spans="1:9">
      <c r="A169" s="140">
        <f t="shared" si="39"/>
        <v>152</v>
      </c>
      <c r="B169" s="142">
        <f t="shared" si="43"/>
        <v>50891</v>
      </c>
      <c r="C169" s="141">
        <f t="shared" ca="1" si="40"/>
        <v>8870587.2813000008</v>
      </c>
      <c r="D169" s="140"/>
      <c r="E169" s="141">
        <f t="shared" si="36"/>
        <v>0</v>
      </c>
      <c r="F169" s="141">
        <f t="shared" ca="1" si="37"/>
        <v>-36960.78</v>
      </c>
      <c r="G169" s="141">
        <f t="shared" ca="1" si="41"/>
        <v>36960.78</v>
      </c>
      <c r="H169" s="141">
        <f t="shared" ca="1" si="42"/>
        <v>8907548.0613000002</v>
      </c>
      <c r="I169" s="288">
        <f t="shared" ca="1" si="38"/>
        <v>-8907548</v>
      </c>
    </row>
    <row r="170" spans="1:9">
      <c r="A170" s="140">
        <f t="shared" si="39"/>
        <v>153</v>
      </c>
      <c r="B170" s="142">
        <f t="shared" si="43"/>
        <v>50922</v>
      </c>
      <c r="C170" s="141">
        <f t="shared" ca="1" si="40"/>
        <v>8907548.0613000002</v>
      </c>
      <c r="D170" s="140"/>
      <c r="E170" s="141">
        <f t="shared" si="36"/>
        <v>0</v>
      </c>
      <c r="F170" s="141">
        <f t="shared" ca="1" si="37"/>
        <v>-37114.784</v>
      </c>
      <c r="G170" s="141">
        <f t="shared" ca="1" si="41"/>
        <v>37114.784</v>
      </c>
      <c r="H170" s="141">
        <f t="shared" ca="1" si="42"/>
        <v>8944662.8453000002</v>
      </c>
      <c r="I170" s="288">
        <f t="shared" ca="1" si="38"/>
        <v>-8944663</v>
      </c>
    </row>
    <row r="171" spans="1:9">
      <c r="A171" s="140">
        <f t="shared" si="39"/>
        <v>154</v>
      </c>
      <c r="B171" s="142">
        <f t="shared" si="43"/>
        <v>50952</v>
      </c>
      <c r="C171" s="141">
        <f t="shared" ca="1" si="40"/>
        <v>8944662.8453000002</v>
      </c>
      <c r="D171" s="140"/>
      <c r="E171" s="141">
        <f t="shared" si="36"/>
        <v>0</v>
      </c>
      <c r="F171" s="141">
        <f t="shared" ca="1" si="37"/>
        <v>-37269.428999999996</v>
      </c>
      <c r="G171" s="141">
        <f t="shared" ca="1" si="41"/>
        <v>37269.428999999996</v>
      </c>
      <c r="H171" s="141">
        <f t="shared" ca="1" si="42"/>
        <v>8981932.2742999997</v>
      </c>
      <c r="I171" s="288">
        <f t="shared" ca="1" si="38"/>
        <v>-8981932</v>
      </c>
    </row>
    <row r="172" spans="1:9">
      <c r="A172" s="140">
        <f t="shared" si="39"/>
        <v>155</v>
      </c>
      <c r="B172" s="142">
        <f t="shared" si="43"/>
        <v>50983</v>
      </c>
      <c r="C172" s="141">
        <f t="shared" ca="1" si="40"/>
        <v>8981932.2742999997</v>
      </c>
      <c r="D172" s="140"/>
      <c r="E172" s="141">
        <f>IF($D$10=1,IF(MONTH(B172)=MONTH($D$7),D171-'Sch3-Perf Period Cash Flow'!P7,0),IF(MONTH(B172)=MONTH(EDATE($D$7,11)),IF(AND(H171&gt;D161,H171&lt;K29-L29), H171, MIN(D161,H171))-'Sch3-Perf Period Cash Flow'!P7,0))</f>
        <v>0</v>
      </c>
      <c r="F172" s="141">
        <f t="shared" ca="1" si="37"/>
        <v>-37424.718000000001</v>
      </c>
      <c r="G172" s="141">
        <f t="shared" ca="1" si="41"/>
        <v>37424.718000000001</v>
      </c>
      <c r="H172" s="141">
        <f t="shared" ca="1" si="42"/>
        <v>9019356.9923</v>
      </c>
      <c r="I172" s="288">
        <f t="shared" ca="1" si="38"/>
        <v>-9019357</v>
      </c>
    </row>
    <row r="173" spans="1:9">
      <c r="A173" s="140">
        <f t="shared" si="39"/>
        <v>156</v>
      </c>
      <c r="B173" s="142">
        <f t="shared" si="43"/>
        <v>51014</v>
      </c>
      <c r="C173" s="141">
        <f t="shared" ca="1" si="40"/>
        <v>9019356.9923</v>
      </c>
      <c r="D173" s="141">
        <f ca="1">IF(H173&lt;0,0,IF((H172+G173)&lt;(K30-L30),H172+G173,K30-L30))</f>
        <v>1768503</v>
      </c>
      <c r="E173" s="141">
        <f ca="1">IF($D$10=1,IF(MONTH(B173)=MONTH($D$7),D172-'Sch3-Perf Period Cash Flow'!P7,0),IF(MONTH(B173)=MONTH(EDATE($D$7,11)),MIN(D161,H172)-'Sch3-Perf Period Cash Flow'!P7,0))</f>
        <v>1731985</v>
      </c>
      <c r="F173" s="141">
        <f t="shared" ca="1" si="37"/>
        <v>1701620.95</v>
      </c>
      <c r="G173" s="141">
        <f t="shared" ca="1" si="41"/>
        <v>30364.05</v>
      </c>
      <c r="H173" s="141">
        <f t="shared" ca="1" si="42"/>
        <v>7317736.0422999999</v>
      </c>
      <c r="I173" s="288">
        <f t="shared" ca="1" si="38"/>
        <v>-5549233</v>
      </c>
    </row>
    <row r="174" spans="1:9">
      <c r="A174" s="140">
        <f t="shared" si="39"/>
        <v>157</v>
      </c>
      <c r="B174" s="142">
        <f t="shared" si="43"/>
        <v>51044</v>
      </c>
      <c r="C174" s="141">
        <f t="shared" ca="1" si="40"/>
        <v>7317736.0422999999</v>
      </c>
      <c r="D174" s="141"/>
      <c r="E174" s="141">
        <f>IF($D$10=1,IF(MONTH(B174)=MONTH($D$7),D173-'Sch3-Perf Period Cash Flow'!Q7,0),IF(MONTH(B174)=MONTH(EDATE($D$7,11)),MIN(D162,H173)-'Sch3-Perf Period Cash Flow'!Q7,0))</f>
        <v>0</v>
      </c>
      <c r="F174" s="141">
        <f t="shared" ca="1" si="37"/>
        <v>-30490.566999999999</v>
      </c>
      <c r="G174" s="141">
        <f t="shared" ca="1" si="41"/>
        <v>30490.566999999999</v>
      </c>
      <c r="H174" s="141">
        <f t="shared" ca="1" si="42"/>
        <v>7348226.6092999997</v>
      </c>
      <c r="I174" s="288">
        <f t="shared" ca="1" si="38"/>
        <v>-7348227</v>
      </c>
    </row>
    <row r="175" spans="1:9">
      <c r="A175" s="140">
        <f t="shared" si="39"/>
        <v>158</v>
      </c>
      <c r="B175" s="142">
        <f t="shared" si="43"/>
        <v>51075</v>
      </c>
      <c r="C175" s="141">
        <f t="shared" ca="1" si="40"/>
        <v>7348226.6092999997</v>
      </c>
      <c r="D175" s="140"/>
      <c r="E175" s="141">
        <f t="shared" si="36"/>
        <v>0</v>
      </c>
      <c r="F175" s="141">
        <f t="shared" ca="1" si="37"/>
        <v>-30617.611000000001</v>
      </c>
      <c r="G175" s="141">
        <f t="shared" ca="1" si="41"/>
        <v>30617.611000000001</v>
      </c>
      <c r="H175" s="141">
        <f t="shared" ca="1" si="42"/>
        <v>7378844.2203000002</v>
      </c>
      <c r="I175" s="288">
        <f t="shared" ca="1" si="38"/>
        <v>-7378844</v>
      </c>
    </row>
    <row r="176" spans="1:9">
      <c r="A176" s="140">
        <f t="shared" si="39"/>
        <v>159</v>
      </c>
      <c r="B176" s="142">
        <f t="shared" si="43"/>
        <v>51105</v>
      </c>
      <c r="C176" s="141">
        <f t="shared" ca="1" si="40"/>
        <v>7378844.2203000002</v>
      </c>
      <c r="D176" s="140"/>
      <c r="E176" s="141">
        <f t="shared" si="36"/>
        <v>0</v>
      </c>
      <c r="F176" s="141">
        <f t="shared" ca="1" si="37"/>
        <v>-30745.184000000001</v>
      </c>
      <c r="G176" s="141">
        <f t="shared" ca="1" si="41"/>
        <v>30745.184000000001</v>
      </c>
      <c r="H176" s="141">
        <f t="shared" ca="1" si="42"/>
        <v>7409589.4042999996</v>
      </c>
      <c r="I176" s="288">
        <f t="shared" ca="1" si="38"/>
        <v>-7409589</v>
      </c>
    </row>
    <row r="177" spans="1:9">
      <c r="A177" s="140">
        <f t="shared" si="39"/>
        <v>160</v>
      </c>
      <c r="B177" s="142">
        <f t="shared" si="43"/>
        <v>51136</v>
      </c>
      <c r="C177" s="141">
        <f t="shared" ca="1" si="40"/>
        <v>7409589.4042999996</v>
      </c>
      <c r="D177" s="140"/>
      <c r="E177" s="141">
        <f t="shared" si="36"/>
        <v>0</v>
      </c>
      <c r="F177" s="141">
        <f t="shared" ca="1" si="37"/>
        <v>-30873.289000000001</v>
      </c>
      <c r="G177" s="141">
        <f t="shared" ca="1" si="41"/>
        <v>30873.289000000001</v>
      </c>
      <c r="H177" s="141">
        <f t="shared" ca="1" si="42"/>
        <v>7440462.6933000004</v>
      </c>
      <c r="I177" s="288">
        <f t="shared" ca="1" si="38"/>
        <v>-7440463</v>
      </c>
    </row>
    <row r="178" spans="1:9">
      <c r="A178" s="140">
        <f t="shared" si="39"/>
        <v>161</v>
      </c>
      <c r="B178" s="142">
        <f t="shared" si="43"/>
        <v>51167</v>
      </c>
      <c r="C178" s="141">
        <f t="shared" ca="1" si="40"/>
        <v>7440462.6933000004</v>
      </c>
      <c r="D178" s="140"/>
      <c r="E178" s="141">
        <f t="shared" si="36"/>
        <v>0</v>
      </c>
      <c r="F178" s="141">
        <f t="shared" ca="1" si="37"/>
        <v>-31001.928</v>
      </c>
      <c r="G178" s="141">
        <f t="shared" ca="1" si="41"/>
        <v>31001.928</v>
      </c>
      <c r="H178" s="141">
        <f t="shared" ca="1" si="42"/>
        <v>7471464.6212999998</v>
      </c>
      <c r="I178" s="288">
        <f t="shared" ca="1" si="38"/>
        <v>-7471465</v>
      </c>
    </row>
    <row r="179" spans="1:9">
      <c r="A179" s="140">
        <f t="shared" si="39"/>
        <v>162</v>
      </c>
      <c r="B179" s="142">
        <f t="shared" si="43"/>
        <v>51196</v>
      </c>
      <c r="C179" s="141">
        <f t="shared" ca="1" si="40"/>
        <v>7471464.6212999998</v>
      </c>
      <c r="D179" s="140"/>
      <c r="E179" s="141">
        <f t="shared" si="36"/>
        <v>0</v>
      </c>
      <c r="F179" s="141">
        <f t="shared" ca="1" si="37"/>
        <v>-31131.102999999999</v>
      </c>
      <c r="G179" s="141">
        <f t="shared" ca="1" si="41"/>
        <v>31131.102999999999</v>
      </c>
      <c r="H179" s="141">
        <f t="shared" ca="1" si="42"/>
        <v>7502595.7242999999</v>
      </c>
      <c r="I179" s="288">
        <f t="shared" ca="1" si="38"/>
        <v>-7502596</v>
      </c>
    </row>
    <row r="180" spans="1:9">
      <c r="A180" s="140">
        <f t="shared" si="39"/>
        <v>163</v>
      </c>
      <c r="B180" s="142">
        <f t="shared" si="43"/>
        <v>51227</v>
      </c>
      <c r="C180" s="141">
        <f t="shared" ca="1" si="40"/>
        <v>7502595.7242999999</v>
      </c>
      <c r="D180" s="140"/>
      <c r="E180" s="141">
        <f t="shared" si="36"/>
        <v>0</v>
      </c>
      <c r="F180" s="141">
        <f t="shared" ca="1" si="37"/>
        <v>-31260.815999999999</v>
      </c>
      <c r="G180" s="141">
        <f t="shared" ca="1" si="41"/>
        <v>31260.815999999999</v>
      </c>
      <c r="H180" s="141">
        <f t="shared" ca="1" si="42"/>
        <v>7533856.5403000005</v>
      </c>
      <c r="I180" s="288">
        <f t="shared" ca="1" si="38"/>
        <v>-7533857</v>
      </c>
    </row>
    <row r="181" spans="1:9">
      <c r="A181" s="140">
        <f t="shared" si="39"/>
        <v>164</v>
      </c>
      <c r="B181" s="142">
        <f t="shared" si="43"/>
        <v>51257</v>
      </c>
      <c r="C181" s="141">
        <f t="shared" ca="1" si="40"/>
        <v>7533856.5403000005</v>
      </c>
      <c r="D181" s="140"/>
      <c r="E181" s="141">
        <f t="shared" si="36"/>
        <v>0</v>
      </c>
      <c r="F181" s="141">
        <f t="shared" ca="1" si="37"/>
        <v>-31391.069</v>
      </c>
      <c r="G181" s="141">
        <f t="shared" ca="1" si="41"/>
        <v>31391.069</v>
      </c>
      <c r="H181" s="141">
        <f t="shared" ca="1" si="42"/>
        <v>7565247.6092999997</v>
      </c>
      <c r="I181" s="288">
        <f t="shared" ca="1" si="38"/>
        <v>-7565248</v>
      </c>
    </row>
    <row r="182" spans="1:9">
      <c r="A182" s="140">
        <f t="shared" si="39"/>
        <v>165</v>
      </c>
      <c r="B182" s="142">
        <f t="shared" si="43"/>
        <v>51288</v>
      </c>
      <c r="C182" s="141">
        <f t="shared" ca="1" si="40"/>
        <v>7565247.6092999997</v>
      </c>
      <c r="D182" s="140"/>
      <c r="E182" s="141">
        <f t="shared" si="36"/>
        <v>0</v>
      </c>
      <c r="F182" s="141">
        <f t="shared" ca="1" si="37"/>
        <v>-31521.865000000002</v>
      </c>
      <c r="G182" s="141">
        <f t="shared" ca="1" si="41"/>
        <v>31521.865000000002</v>
      </c>
      <c r="H182" s="141">
        <f t="shared" ca="1" si="42"/>
        <v>7596769.4742999999</v>
      </c>
      <c r="I182" s="288">
        <f t="shared" ca="1" si="38"/>
        <v>-7596769</v>
      </c>
    </row>
    <row r="183" spans="1:9">
      <c r="A183" s="140">
        <f t="shared" si="39"/>
        <v>166</v>
      </c>
      <c r="B183" s="142">
        <f t="shared" si="43"/>
        <v>51318</v>
      </c>
      <c r="C183" s="141">
        <f t="shared" ca="1" si="40"/>
        <v>7596769.4742999999</v>
      </c>
      <c r="D183" s="140"/>
      <c r="E183" s="141">
        <f t="shared" si="36"/>
        <v>0</v>
      </c>
      <c r="F183" s="141">
        <f t="shared" ca="1" si="37"/>
        <v>-31653.205999999998</v>
      </c>
      <c r="G183" s="141">
        <f t="shared" ca="1" si="41"/>
        <v>31653.205999999998</v>
      </c>
      <c r="H183" s="141">
        <f t="shared" ca="1" si="42"/>
        <v>7628422.6803000001</v>
      </c>
      <c r="I183" s="288">
        <f t="shared" ca="1" si="38"/>
        <v>-7628423</v>
      </c>
    </row>
    <row r="184" spans="1:9">
      <c r="A184" s="140">
        <f t="shared" si="39"/>
        <v>167</v>
      </c>
      <c r="B184" s="142">
        <f t="shared" si="43"/>
        <v>51349</v>
      </c>
      <c r="C184" s="141">
        <f t="shared" ca="1" si="40"/>
        <v>7628422.6803000001</v>
      </c>
      <c r="D184" s="140"/>
      <c r="E184" s="141">
        <f>IF($D$10=1,IF(MONTH(B184)=MONTH($D$7),D183-'Sch3-Perf Period Cash Flow'!Q7,0),IF(MONTH(B184)=MONTH(EDATE($D$7,11)),IF(AND(H183&gt;D173,H183&lt;K30-L30), H183, MIN(D173,H183))-'Sch3-Perf Period Cash Flow'!Q7,0))</f>
        <v>0</v>
      </c>
      <c r="F184" s="141">
        <f t="shared" ca="1" si="37"/>
        <v>-31785.095000000001</v>
      </c>
      <c r="G184" s="141">
        <f t="shared" ca="1" si="41"/>
        <v>31785.095000000001</v>
      </c>
      <c r="H184" s="141">
        <f t="shared" ca="1" si="42"/>
        <v>7660207.7752999999</v>
      </c>
      <c r="I184" s="288">
        <f t="shared" ca="1" si="38"/>
        <v>-7660208</v>
      </c>
    </row>
    <row r="185" spans="1:9">
      <c r="A185" s="140">
        <f t="shared" si="39"/>
        <v>168</v>
      </c>
      <c r="B185" s="142">
        <f t="shared" si="43"/>
        <v>51380</v>
      </c>
      <c r="C185" s="141">
        <f t="shared" ca="1" si="40"/>
        <v>7660207.7752999999</v>
      </c>
      <c r="D185" s="141">
        <f ca="1">IF(H185&lt;0,0,IF((H184+G185)&lt;(K31-L31),H184+G185,K31-L31))</f>
        <v>1805994</v>
      </c>
      <c r="E185" s="141">
        <f ca="1">IF($D$10=1,IF(MONTH(B185)=MONTH($D$7),D184-'Sch3-Perf Period Cash Flow'!Q7,0),IF(MONTH(B185)=MONTH(EDATE($D$7,11)),MIN(D173,H184)-'Sch3-Perf Period Cash Flow'!Q7,0))</f>
        <v>1768502</v>
      </c>
      <c r="F185" s="141">
        <f t="shared" ca="1" si="37"/>
        <v>1743953.226</v>
      </c>
      <c r="G185" s="141">
        <f t="shared" ca="1" si="41"/>
        <v>24548.774000000001</v>
      </c>
      <c r="H185" s="141">
        <f t="shared" ca="1" si="42"/>
        <v>5916254.5493000001</v>
      </c>
      <c r="I185" s="288">
        <f t="shared" ca="1" si="38"/>
        <v>-4110261</v>
      </c>
    </row>
    <row r="186" spans="1:9">
      <c r="A186" s="140">
        <f t="shared" si="39"/>
        <v>169</v>
      </c>
      <c r="B186" s="142">
        <f t="shared" si="43"/>
        <v>51410</v>
      </c>
      <c r="C186" s="141">
        <f t="shared" ca="1" si="40"/>
        <v>5916254.5493000001</v>
      </c>
      <c r="D186" s="141"/>
      <c r="E186" s="141">
        <f>IF($D$10=1,IF(MONTH(B186)=MONTH($D$7),D185-'Sch3-Perf Period Cash Flow'!R7,0),IF(MONTH(B186)=MONTH(EDATE($D$7,11)),MIN(D174,H185)-'Sch3-Perf Period Cash Flow'!R7,0))</f>
        <v>0</v>
      </c>
      <c r="F186" s="141">
        <f t="shared" ca="1" si="37"/>
        <v>-24651.061000000002</v>
      </c>
      <c r="G186" s="141">
        <f t="shared" ca="1" si="41"/>
        <v>24651.061000000002</v>
      </c>
      <c r="H186" s="141">
        <f t="shared" ca="1" si="42"/>
        <v>5940905.6102999998</v>
      </c>
      <c r="I186" s="288">
        <f t="shared" ca="1" si="38"/>
        <v>-5940906</v>
      </c>
    </row>
    <row r="187" spans="1:9">
      <c r="A187" s="140">
        <f t="shared" si="39"/>
        <v>170</v>
      </c>
      <c r="B187" s="142">
        <f t="shared" si="43"/>
        <v>51441</v>
      </c>
      <c r="C187" s="141">
        <f t="shared" ca="1" si="40"/>
        <v>5940905.6102999998</v>
      </c>
      <c r="D187" s="140"/>
      <c r="E187" s="141">
        <f t="shared" si="36"/>
        <v>0</v>
      </c>
      <c r="F187" s="141">
        <f t="shared" ca="1" si="37"/>
        <v>-24753.773000000001</v>
      </c>
      <c r="G187" s="141">
        <f t="shared" ca="1" si="41"/>
        <v>24753.773000000001</v>
      </c>
      <c r="H187" s="141">
        <f t="shared" ca="1" si="42"/>
        <v>5965659.3832999999</v>
      </c>
      <c r="I187" s="288">
        <f t="shared" ca="1" si="38"/>
        <v>-5965659</v>
      </c>
    </row>
    <row r="188" spans="1:9">
      <c r="A188" s="140">
        <f t="shared" si="39"/>
        <v>171</v>
      </c>
      <c r="B188" s="142">
        <f t="shared" si="43"/>
        <v>51471</v>
      </c>
      <c r="C188" s="141">
        <f t="shared" ca="1" si="40"/>
        <v>5965659.3832999999</v>
      </c>
      <c r="D188" s="140"/>
      <c r="E188" s="141">
        <f t="shared" si="36"/>
        <v>0</v>
      </c>
      <c r="F188" s="141">
        <f t="shared" ca="1" si="37"/>
        <v>-24856.914000000001</v>
      </c>
      <c r="G188" s="141">
        <f t="shared" ca="1" si="41"/>
        <v>24856.914000000001</v>
      </c>
      <c r="H188" s="141">
        <f t="shared" ca="1" si="42"/>
        <v>5990516.2972999997</v>
      </c>
      <c r="I188" s="288">
        <f t="shared" ca="1" si="38"/>
        <v>-5990516</v>
      </c>
    </row>
    <row r="189" spans="1:9">
      <c r="A189" s="140">
        <f t="shared" si="39"/>
        <v>172</v>
      </c>
      <c r="B189" s="142">
        <f t="shared" si="43"/>
        <v>51502</v>
      </c>
      <c r="C189" s="141">
        <f t="shared" ca="1" si="40"/>
        <v>5990516.2972999997</v>
      </c>
      <c r="D189" s="140"/>
      <c r="E189" s="141">
        <f t="shared" si="36"/>
        <v>0</v>
      </c>
      <c r="F189" s="141">
        <f t="shared" ca="1" si="37"/>
        <v>-24960.485000000001</v>
      </c>
      <c r="G189" s="141">
        <f t="shared" ca="1" si="41"/>
        <v>24960.485000000001</v>
      </c>
      <c r="H189" s="141">
        <f t="shared" ca="1" si="42"/>
        <v>6015476.7823000001</v>
      </c>
      <c r="I189" s="288">
        <f t="shared" ca="1" si="38"/>
        <v>-6015477</v>
      </c>
    </row>
    <row r="190" spans="1:9">
      <c r="A190" s="140">
        <f t="shared" si="39"/>
        <v>173</v>
      </c>
      <c r="B190" s="142">
        <f t="shared" si="43"/>
        <v>51533</v>
      </c>
      <c r="C190" s="141">
        <f t="shared" ca="1" si="40"/>
        <v>6015476.7823000001</v>
      </c>
      <c r="D190" s="140"/>
      <c r="E190" s="141">
        <f t="shared" si="36"/>
        <v>0</v>
      </c>
      <c r="F190" s="141">
        <f t="shared" ca="1" si="37"/>
        <v>-25064.487000000001</v>
      </c>
      <c r="G190" s="141">
        <f t="shared" ca="1" si="41"/>
        <v>25064.487000000001</v>
      </c>
      <c r="H190" s="141">
        <f t="shared" ca="1" si="42"/>
        <v>6040541.2692999998</v>
      </c>
      <c r="I190" s="288">
        <f t="shared" ca="1" si="38"/>
        <v>-6040541</v>
      </c>
    </row>
    <row r="191" spans="1:9">
      <c r="A191" s="140">
        <f t="shared" si="39"/>
        <v>174</v>
      </c>
      <c r="B191" s="142">
        <f t="shared" si="43"/>
        <v>51561</v>
      </c>
      <c r="C191" s="141">
        <f t="shared" ca="1" si="40"/>
        <v>6040541.2692999998</v>
      </c>
      <c r="D191" s="140"/>
      <c r="E191" s="141">
        <f t="shared" ref="E191:E254" si="44">IF($D$10=1,IF(MONTH(B191)=MONTH($D$7),D190,0),IF(MONTH(B191)=MONTH(EDATE($D$7,11)),MIN(D179,H190),0))</f>
        <v>0</v>
      </c>
      <c r="F191" s="141">
        <f t="shared" ca="1" si="37"/>
        <v>-25168.921999999999</v>
      </c>
      <c r="G191" s="141">
        <f t="shared" ca="1" si="41"/>
        <v>25168.921999999999</v>
      </c>
      <c r="H191" s="141">
        <f t="shared" ca="1" si="42"/>
        <v>6065710.1913000001</v>
      </c>
      <c r="I191" s="288">
        <f t="shared" ca="1" si="38"/>
        <v>-6065710</v>
      </c>
    </row>
    <row r="192" spans="1:9">
      <c r="A192" s="140">
        <f t="shared" si="39"/>
        <v>175</v>
      </c>
      <c r="B192" s="142">
        <f t="shared" si="43"/>
        <v>51592</v>
      </c>
      <c r="C192" s="141">
        <f t="shared" ca="1" si="40"/>
        <v>6065710.1913000001</v>
      </c>
      <c r="D192" s="140"/>
      <c r="E192" s="141">
        <f t="shared" si="44"/>
        <v>0</v>
      </c>
      <c r="F192" s="141">
        <f t="shared" ca="1" si="37"/>
        <v>-25273.792000000001</v>
      </c>
      <c r="G192" s="141">
        <f t="shared" ca="1" si="41"/>
        <v>25273.792000000001</v>
      </c>
      <c r="H192" s="141">
        <f t="shared" ca="1" si="42"/>
        <v>6090983.9833000004</v>
      </c>
      <c r="I192" s="288">
        <f t="shared" ca="1" si="38"/>
        <v>-6090984</v>
      </c>
    </row>
    <row r="193" spans="1:9">
      <c r="A193" s="140">
        <f t="shared" si="39"/>
        <v>176</v>
      </c>
      <c r="B193" s="142">
        <f t="shared" si="43"/>
        <v>51622</v>
      </c>
      <c r="C193" s="141">
        <f t="shared" ca="1" si="40"/>
        <v>6090983.9833000004</v>
      </c>
      <c r="D193" s="140"/>
      <c r="E193" s="141">
        <f t="shared" si="44"/>
        <v>0</v>
      </c>
      <c r="F193" s="141">
        <f t="shared" ca="1" si="37"/>
        <v>-25379.1</v>
      </c>
      <c r="G193" s="141">
        <f t="shared" ca="1" si="41"/>
        <v>25379.1</v>
      </c>
      <c r="H193" s="141">
        <f t="shared" ca="1" si="42"/>
        <v>6116363.0833000001</v>
      </c>
      <c r="I193" s="288">
        <f t="shared" ca="1" si="38"/>
        <v>-6116363</v>
      </c>
    </row>
    <row r="194" spans="1:9">
      <c r="A194" s="140">
        <f t="shared" si="39"/>
        <v>177</v>
      </c>
      <c r="B194" s="142">
        <f t="shared" si="43"/>
        <v>51653</v>
      </c>
      <c r="C194" s="141">
        <f t="shared" ca="1" si="40"/>
        <v>6116363.0833000001</v>
      </c>
      <c r="D194" s="140"/>
      <c r="E194" s="141">
        <f t="shared" si="44"/>
        <v>0</v>
      </c>
      <c r="F194" s="141">
        <f t="shared" ca="1" si="37"/>
        <v>-25484.846000000001</v>
      </c>
      <c r="G194" s="141">
        <f t="shared" ca="1" si="41"/>
        <v>25484.846000000001</v>
      </c>
      <c r="H194" s="141">
        <f t="shared" ca="1" si="42"/>
        <v>6141847.9293</v>
      </c>
      <c r="I194" s="288">
        <f t="shared" ca="1" si="38"/>
        <v>-6141848</v>
      </c>
    </row>
    <row r="195" spans="1:9">
      <c r="A195" s="140">
        <f t="shared" si="39"/>
        <v>178</v>
      </c>
      <c r="B195" s="142">
        <f t="shared" si="43"/>
        <v>51683</v>
      </c>
      <c r="C195" s="141">
        <f t="shared" ca="1" si="40"/>
        <v>6141847.9293</v>
      </c>
      <c r="D195" s="140"/>
      <c r="E195" s="141">
        <f t="shared" si="44"/>
        <v>0</v>
      </c>
      <c r="F195" s="141">
        <f t="shared" ca="1" si="37"/>
        <v>-25591.032999999999</v>
      </c>
      <c r="G195" s="141">
        <f t="shared" ca="1" si="41"/>
        <v>25591.032999999999</v>
      </c>
      <c r="H195" s="141">
        <f t="shared" ca="1" si="42"/>
        <v>6167438.9622999998</v>
      </c>
      <c r="I195" s="288">
        <f t="shared" ca="1" si="38"/>
        <v>-6167439</v>
      </c>
    </row>
    <row r="196" spans="1:9">
      <c r="A196" s="140">
        <f t="shared" si="39"/>
        <v>179</v>
      </c>
      <c r="B196" s="142">
        <f t="shared" si="43"/>
        <v>51714</v>
      </c>
      <c r="C196" s="141">
        <f t="shared" ca="1" si="40"/>
        <v>6167438.9622999998</v>
      </c>
      <c r="D196" s="140"/>
      <c r="E196" s="141">
        <f>IF($D$10=1,IF(MONTH(B196)=MONTH($D$7),D195-'Sch3-Perf Period Cash Flow'!R7,0),IF(MONTH(B196)=MONTH(EDATE($D$7,11)),IF(AND(H195&gt;D185,H195&lt;K31-L31), H195, MIN(D185,H195))-'Sch3-Perf Period Cash Flow'!R7,0))</f>
        <v>0</v>
      </c>
      <c r="F196" s="141">
        <f t="shared" ca="1" si="37"/>
        <v>-25697.662</v>
      </c>
      <c r="G196" s="141">
        <f t="shared" ca="1" si="41"/>
        <v>25697.662</v>
      </c>
      <c r="H196" s="141">
        <f t="shared" ca="1" si="42"/>
        <v>6193136.6243000003</v>
      </c>
      <c r="I196" s="288">
        <f t="shared" ca="1" si="38"/>
        <v>-6193137</v>
      </c>
    </row>
    <row r="197" spans="1:9">
      <c r="A197" s="140">
        <f t="shared" si="39"/>
        <v>180</v>
      </c>
      <c r="B197" s="142">
        <f t="shared" si="43"/>
        <v>51745</v>
      </c>
      <c r="C197" s="141">
        <f t="shared" ca="1" si="40"/>
        <v>6193136.6243000003</v>
      </c>
      <c r="D197" s="141">
        <f ca="1">IF(H197&lt;0,0,IF((H196+G197)&lt;(K32-L32),H196+G197,K32-L32))</f>
        <v>1844486</v>
      </c>
      <c r="E197" s="141">
        <f ca="1">IF($D$10=1,IF(MONTH(B197)=MONTH($D$7),D196-'Sch3-Perf Period Cash Flow'!R7,0),IF(MONTH(B197)=MONTH(EDATE($D$7,11)),MIN(D185,H196)-'Sch3-Perf Period Cash Flow'!R7,0))</f>
        <v>1805993</v>
      </c>
      <c r="F197" s="141">
        <f t="shared" ca="1" si="37"/>
        <v>1787713.2350000001</v>
      </c>
      <c r="G197" s="141">
        <f t="shared" ca="1" si="41"/>
        <v>18279.764999999999</v>
      </c>
      <c r="H197" s="141">
        <f t="shared" ca="1" si="42"/>
        <v>4405423.3892999999</v>
      </c>
      <c r="I197" s="288">
        <f t="shared" ca="1" si="38"/>
        <v>-2560937</v>
      </c>
    </row>
    <row r="198" spans="1:9">
      <c r="A198" s="140">
        <f t="shared" si="39"/>
        <v>181</v>
      </c>
      <c r="B198" s="142">
        <f t="shared" si="43"/>
        <v>51775</v>
      </c>
      <c r="C198" s="141">
        <f t="shared" ca="1" si="40"/>
        <v>4405423.3892999999</v>
      </c>
      <c r="D198" s="141"/>
      <c r="E198" s="141">
        <f>IF($D$10=1,IF(MONTH(B198)=MONTH($D$7),D197-'Sch3-Perf Period Cash Flow'!S7,0),IF(MONTH(B198)=MONTH(EDATE($D$7,11)),MIN(D186,H197)-'Sch3-Perf Period Cash Flow'!S7,0))</f>
        <v>0</v>
      </c>
      <c r="F198" s="141">
        <f t="shared" ca="1" si="37"/>
        <v>-18355.931</v>
      </c>
      <c r="G198" s="141">
        <f t="shared" ca="1" si="41"/>
        <v>18355.931</v>
      </c>
      <c r="H198" s="141">
        <f t="shared" ca="1" si="42"/>
        <v>4423779.3202999998</v>
      </c>
      <c r="I198" s="288">
        <f t="shared" ca="1" si="38"/>
        <v>-4423779</v>
      </c>
    </row>
    <row r="199" spans="1:9">
      <c r="A199" s="140">
        <f t="shared" si="39"/>
        <v>182</v>
      </c>
      <c r="B199" s="142">
        <f t="shared" si="43"/>
        <v>51806</v>
      </c>
      <c r="C199" s="141">
        <f t="shared" ca="1" si="40"/>
        <v>4423779.3202999998</v>
      </c>
      <c r="D199" s="140"/>
      <c r="E199" s="141">
        <f t="shared" si="44"/>
        <v>0</v>
      </c>
      <c r="F199" s="141">
        <f t="shared" ca="1" si="37"/>
        <v>-18432.414000000001</v>
      </c>
      <c r="G199" s="141">
        <f t="shared" ca="1" si="41"/>
        <v>18432.414000000001</v>
      </c>
      <c r="H199" s="141">
        <f t="shared" ca="1" si="42"/>
        <v>4442211.7342999997</v>
      </c>
      <c r="I199" s="288">
        <f t="shared" ca="1" si="38"/>
        <v>-4442212</v>
      </c>
    </row>
    <row r="200" spans="1:9">
      <c r="A200" s="140">
        <f t="shared" si="39"/>
        <v>183</v>
      </c>
      <c r="B200" s="142">
        <f t="shared" si="43"/>
        <v>51836</v>
      </c>
      <c r="C200" s="141">
        <f t="shared" ca="1" si="40"/>
        <v>4442211.7342999997</v>
      </c>
      <c r="D200" s="140"/>
      <c r="E200" s="141">
        <f t="shared" si="44"/>
        <v>0</v>
      </c>
      <c r="F200" s="141">
        <f t="shared" ca="1" si="37"/>
        <v>-18509.216</v>
      </c>
      <c r="G200" s="141">
        <f t="shared" ca="1" si="41"/>
        <v>18509.216</v>
      </c>
      <c r="H200" s="141">
        <f t="shared" ca="1" si="42"/>
        <v>4460720.9502999997</v>
      </c>
      <c r="I200" s="288">
        <f t="shared" ca="1" si="38"/>
        <v>-4460721</v>
      </c>
    </row>
    <row r="201" spans="1:9">
      <c r="A201" s="140">
        <f t="shared" si="39"/>
        <v>184</v>
      </c>
      <c r="B201" s="142">
        <f t="shared" si="43"/>
        <v>51867</v>
      </c>
      <c r="C201" s="141">
        <f t="shared" ca="1" si="40"/>
        <v>4460720.9502999997</v>
      </c>
      <c r="D201" s="140"/>
      <c r="E201" s="141">
        <f t="shared" si="44"/>
        <v>0</v>
      </c>
      <c r="F201" s="141">
        <f t="shared" ca="1" si="37"/>
        <v>-18586.337</v>
      </c>
      <c r="G201" s="141">
        <f t="shared" ca="1" si="41"/>
        <v>18586.337</v>
      </c>
      <c r="H201" s="141">
        <f t="shared" ca="1" si="42"/>
        <v>4479307.2873</v>
      </c>
      <c r="I201" s="288">
        <f t="shared" ca="1" si="38"/>
        <v>-4479307</v>
      </c>
    </row>
    <row r="202" spans="1:9">
      <c r="A202" s="140">
        <f t="shared" si="39"/>
        <v>185</v>
      </c>
      <c r="B202" s="142">
        <f t="shared" si="43"/>
        <v>51898</v>
      </c>
      <c r="C202" s="141">
        <f t="shared" ca="1" si="40"/>
        <v>4479307.2873</v>
      </c>
      <c r="D202" s="140"/>
      <c r="E202" s="141">
        <f t="shared" si="44"/>
        <v>0</v>
      </c>
      <c r="F202" s="141">
        <f t="shared" ca="1" si="37"/>
        <v>-18663.78</v>
      </c>
      <c r="G202" s="141">
        <f t="shared" ca="1" si="41"/>
        <v>18663.78</v>
      </c>
      <c r="H202" s="141">
        <f t="shared" ca="1" si="42"/>
        <v>4497971.0673000002</v>
      </c>
      <c r="I202" s="288">
        <f t="shared" ca="1" si="38"/>
        <v>-4497971</v>
      </c>
    </row>
    <row r="203" spans="1:9">
      <c r="A203" s="140">
        <f t="shared" si="39"/>
        <v>186</v>
      </c>
      <c r="B203" s="142">
        <f t="shared" si="43"/>
        <v>51926</v>
      </c>
      <c r="C203" s="141">
        <f t="shared" ca="1" si="40"/>
        <v>4497971.0673000002</v>
      </c>
      <c r="D203" s="140"/>
      <c r="E203" s="141">
        <f t="shared" si="44"/>
        <v>0</v>
      </c>
      <c r="F203" s="141">
        <f t="shared" ca="1" si="37"/>
        <v>-18741.545999999998</v>
      </c>
      <c r="G203" s="141">
        <f t="shared" ca="1" si="41"/>
        <v>18741.545999999998</v>
      </c>
      <c r="H203" s="141">
        <f t="shared" ca="1" si="42"/>
        <v>4516712.6133000003</v>
      </c>
      <c r="I203" s="288">
        <f t="shared" ca="1" si="38"/>
        <v>-4516713</v>
      </c>
    </row>
    <row r="204" spans="1:9">
      <c r="A204" s="140">
        <f t="shared" si="39"/>
        <v>187</v>
      </c>
      <c r="B204" s="142">
        <f t="shared" si="43"/>
        <v>51957</v>
      </c>
      <c r="C204" s="141">
        <f t="shared" ca="1" si="40"/>
        <v>4516712.6133000003</v>
      </c>
      <c r="D204" s="140"/>
      <c r="E204" s="141">
        <f t="shared" si="44"/>
        <v>0</v>
      </c>
      <c r="F204" s="141">
        <f t="shared" ca="1" si="37"/>
        <v>-18819.635999999999</v>
      </c>
      <c r="G204" s="141">
        <f t="shared" ca="1" si="41"/>
        <v>18819.635999999999</v>
      </c>
      <c r="H204" s="141">
        <f t="shared" ca="1" si="42"/>
        <v>4535532.2493000003</v>
      </c>
      <c r="I204" s="288">
        <f t="shared" ca="1" si="38"/>
        <v>-4535532</v>
      </c>
    </row>
    <row r="205" spans="1:9">
      <c r="A205" s="140">
        <f t="shared" si="39"/>
        <v>188</v>
      </c>
      <c r="B205" s="142">
        <f t="shared" si="43"/>
        <v>51987</v>
      </c>
      <c r="C205" s="141">
        <f t="shared" ca="1" si="40"/>
        <v>4535532.2493000003</v>
      </c>
      <c r="D205" s="140"/>
      <c r="E205" s="141">
        <f t="shared" si="44"/>
        <v>0</v>
      </c>
      <c r="F205" s="141">
        <f t="shared" ca="1" si="37"/>
        <v>-18898.050999999999</v>
      </c>
      <c r="G205" s="141">
        <f t="shared" ca="1" si="41"/>
        <v>18898.050999999999</v>
      </c>
      <c r="H205" s="141">
        <f t="shared" ca="1" si="42"/>
        <v>4554430.3003000002</v>
      </c>
      <c r="I205" s="288">
        <f t="shared" ca="1" si="38"/>
        <v>-4554430</v>
      </c>
    </row>
    <row r="206" spans="1:9">
      <c r="A206" s="140">
        <f t="shared" si="39"/>
        <v>189</v>
      </c>
      <c r="B206" s="142">
        <f t="shared" si="43"/>
        <v>52018</v>
      </c>
      <c r="C206" s="141">
        <f t="shared" ca="1" si="40"/>
        <v>4554430.3003000002</v>
      </c>
      <c r="D206" s="140"/>
      <c r="E206" s="141">
        <f t="shared" si="44"/>
        <v>0</v>
      </c>
      <c r="F206" s="141">
        <f t="shared" ca="1" si="37"/>
        <v>-18976.793000000001</v>
      </c>
      <c r="G206" s="141">
        <f t="shared" ca="1" si="41"/>
        <v>18976.793000000001</v>
      </c>
      <c r="H206" s="141">
        <f t="shared" ca="1" si="42"/>
        <v>4573407.0932999998</v>
      </c>
      <c r="I206" s="288">
        <f t="shared" ca="1" si="38"/>
        <v>-4573407</v>
      </c>
    </row>
    <row r="207" spans="1:9">
      <c r="A207" s="140">
        <f t="shared" si="39"/>
        <v>190</v>
      </c>
      <c r="B207" s="142">
        <f t="shared" si="43"/>
        <v>52048</v>
      </c>
      <c r="C207" s="141">
        <f t="shared" ca="1" si="40"/>
        <v>4573407.0932999998</v>
      </c>
      <c r="D207" s="140"/>
      <c r="E207" s="141">
        <f t="shared" si="44"/>
        <v>0</v>
      </c>
      <c r="F207" s="141">
        <f t="shared" ca="1" si="37"/>
        <v>-19055.863000000001</v>
      </c>
      <c r="G207" s="141">
        <f t="shared" ca="1" si="41"/>
        <v>19055.863000000001</v>
      </c>
      <c r="H207" s="141">
        <f t="shared" ca="1" si="42"/>
        <v>4592462.9562999997</v>
      </c>
      <c r="I207" s="288">
        <f t="shared" ca="1" si="38"/>
        <v>-4592463</v>
      </c>
    </row>
    <row r="208" spans="1:9">
      <c r="A208" s="140">
        <f t="shared" si="39"/>
        <v>191</v>
      </c>
      <c r="B208" s="142">
        <f t="shared" si="43"/>
        <v>52079</v>
      </c>
      <c r="C208" s="141">
        <f t="shared" ca="1" si="40"/>
        <v>4592462.9562999997</v>
      </c>
      <c r="D208" s="140"/>
      <c r="E208" s="141">
        <f>IF($D$10=1,IF(MONTH(B208)=MONTH($D$7),D207-'Sch3-Perf Period Cash Flow'!S7,0),IF(MONTH(B208)=MONTH(EDATE($D$7,11)),IF(AND(H207&gt;D197,H207&lt;K32-L32), H207, MIN(D197,H207))-'Sch3-Perf Period Cash Flow'!S7,0))</f>
        <v>0</v>
      </c>
      <c r="F208" s="141">
        <f t="shared" ca="1" si="37"/>
        <v>-19135.261999999999</v>
      </c>
      <c r="G208" s="141">
        <f t="shared" ca="1" si="41"/>
        <v>19135.261999999999</v>
      </c>
      <c r="H208" s="141">
        <f t="shared" ca="1" si="42"/>
        <v>4611598.2182999998</v>
      </c>
      <c r="I208" s="288">
        <f t="shared" ca="1" si="38"/>
        <v>-4611598</v>
      </c>
    </row>
    <row r="209" spans="1:9">
      <c r="A209" s="140">
        <f t="shared" si="39"/>
        <v>192</v>
      </c>
      <c r="B209" s="142">
        <f t="shared" si="43"/>
        <v>52110</v>
      </c>
      <c r="C209" s="141">
        <f t="shared" ca="1" si="40"/>
        <v>4611598.2182999998</v>
      </c>
      <c r="D209" s="141">
        <f ca="1">IF(H209&lt;0,0,IF((H208+G209)&lt;(K33-L33),H208+G209,K33-L33))</f>
        <v>1884014</v>
      </c>
      <c r="E209" s="141">
        <f ca="1">IF($D$10=1,IF(MONTH(B209)=MONTH($D$7),D208-'Sch3-Perf Period Cash Flow'!S7,0),IF(MONTH(B209)=MONTH(EDATE($D$7,11)),MIN(D197,H208)-'Sch3-Perf Period Cash Flow'!S7,0))</f>
        <v>1844485</v>
      </c>
      <c r="F209" s="141">
        <f t="shared" ca="1" si="37"/>
        <v>1832955.362</v>
      </c>
      <c r="G209" s="141">
        <f t="shared" ca="1" si="41"/>
        <v>11529.638000000001</v>
      </c>
      <c r="H209" s="141">
        <f t="shared" ca="1" si="42"/>
        <v>2778642.8563000001</v>
      </c>
      <c r="I209" s="288">
        <f t="shared" ca="1" si="38"/>
        <v>-894629</v>
      </c>
    </row>
    <row r="210" spans="1:9">
      <c r="A210" s="140">
        <f t="shared" si="39"/>
        <v>193</v>
      </c>
      <c r="B210" s="142">
        <f t="shared" si="43"/>
        <v>52140</v>
      </c>
      <c r="C210" s="141">
        <f t="shared" ca="1" si="40"/>
        <v>2778642.8563000001</v>
      </c>
      <c r="D210" s="141"/>
      <c r="E210" s="141">
        <f>IF($D$10=1,IF(MONTH(B210)=MONTH($D$7),D209-'Sch3-Perf Period Cash Flow'!T7,0),IF(MONTH(B210)=MONTH(EDATE($D$7,11)),MIN(D198,H209)-'Sch3-Perf Period Cash Flow'!T7,0))</f>
        <v>0</v>
      </c>
      <c r="F210" s="141">
        <f t="shared" ref="F210:F273" ca="1" si="45">IF(E210="","",E210-G210)</f>
        <v>-11577.679</v>
      </c>
      <c r="G210" s="141">
        <f t="shared" ca="1" si="41"/>
        <v>11577.679</v>
      </c>
      <c r="H210" s="141">
        <f t="shared" ca="1" si="42"/>
        <v>2790220.5353000001</v>
      </c>
      <c r="I210" s="288">
        <f t="shared" ref="I210:I273" ca="1" si="46">ROUND((D210-H210),0)</f>
        <v>-2790221</v>
      </c>
    </row>
    <row r="211" spans="1:9">
      <c r="A211" s="140">
        <f t="shared" ref="A211:A274" si="47">IF(A210="","",IF(A210=$D$6,"",A210+1))</f>
        <v>194</v>
      </c>
      <c r="B211" s="142">
        <f t="shared" si="43"/>
        <v>52171</v>
      </c>
      <c r="C211" s="141">
        <f t="shared" ref="C211:C274" ca="1" si="48">IF(H210=0,0,H210)</f>
        <v>2790220.5353000001</v>
      </c>
      <c r="D211" s="140"/>
      <c r="E211" s="141">
        <f t="shared" si="44"/>
        <v>0</v>
      </c>
      <c r="F211" s="141">
        <f t="shared" ca="1" si="45"/>
        <v>-11625.919</v>
      </c>
      <c r="G211" s="141">
        <f t="shared" ref="G211:G274" ca="1" si="49">ROUND((C211-E211)*$D$5,3)</f>
        <v>11625.919</v>
      </c>
      <c r="H211" s="141">
        <f t="shared" ref="H211:H274" ca="1" si="50">IF(E211="","",ROUND(H210-F211,4))</f>
        <v>2801846.4542999999</v>
      </c>
      <c r="I211" s="288">
        <f t="shared" ca="1" si="46"/>
        <v>-2801846</v>
      </c>
    </row>
    <row r="212" spans="1:9">
      <c r="A212" s="140">
        <f t="shared" si="47"/>
        <v>195</v>
      </c>
      <c r="B212" s="142">
        <f t="shared" ref="B212:B275" si="51">DATE(YEAR(B211),MONTH(B211)+1,1)</f>
        <v>52201</v>
      </c>
      <c r="C212" s="141">
        <f t="shared" ca="1" si="48"/>
        <v>2801846.4542999999</v>
      </c>
      <c r="D212" s="140"/>
      <c r="E212" s="141">
        <f t="shared" si="44"/>
        <v>0</v>
      </c>
      <c r="F212" s="141">
        <f t="shared" ca="1" si="45"/>
        <v>-11674.36</v>
      </c>
      <c r="G212" s="141">
        <f t="shared" ca="1" si="49"/>
        <v>11674.36</v>
      </c>
      <c r="H212" s="141">
        <f t="shared" ca="1" si="50"/>
        <v>2813520.8143000002</v>
      </c>
      <c r="I212" s="288">
        <f t="shared" ca="1" si="46"/>
        <v>-2813521</v>
      </c>
    </row>
    <row r="213" spans="1:9">
      <c r="A213" s="140">
        <f t="shared" si="47"/>
        <v>196</v>
      </c>
      <c r="B213" s="142">
        <f t="shared" si="51"/>
        <v>52232</v>
      </c>
      <c r="C213" s="141">
        <f t="shared" ca="1" si="48"/>
        <v>2813520.8143000002</v>
      </c>
      <c r="D213" s="140"/>
      <c r="E213" s="141">
        <f t="shared" si="44"/>
        <v>0</v>
      </c>
      <c r="F213" s="141">
        <f t="shared" ca="1" si="45"/>
        <v>-11723.003000000001</v>
      </c>
      <c r="G213" s="141">
        <f t="shared" ca="1" si="49"/>
        <v>11723.003000000001</v>
      </c>
      <c r="H213" s="141">
        <f t="shared" ca="1" si="50"/>
        <v>2825243.8173000002</v>
      </c>
      <c r="I213" s="288">
        <f t="shared" ca="1" si="46"/>
        <v>-2825244</v>
      </c>
    </row>
    <row r="214" spans="1:9">
      <c r="A214" s="140">
        <f t="shared" si="47"/>
        <v>197</v>
      </c>
      <c r="B214" s="142">
        <f t="shared" si="51"/>
        <v>52263</v>
      </c>
      <c r="C214" s="141">
        <f t="shared" ca="1" si="48"/>
        <v>2825243.8173000002</v>
      </c>
      <c r="D214" s="140"/>
      <c r="E214" s="141">
        <f t="shared" si="44"/>
        <v>0</v>
      </c>
      <c r="F214" s="141">
        <f t="shared" ca="1" si="45"/>
        <v>-11771.849</v>
      </c>
      <c r="G214" s="141">
        <f t="shared" ca="1" si="49"/>
        <v>11771.849</v>
      </c>
      <c r="H214" s="141">
        <f t="shared" ca="1" si="50"/>
        <v>2837015.6663000002</v>
      </c>
      <c r="I214" s="288">
        <f t="shared" ca="1" si="46"/>
        <v>-2837016</v>
      </c>
    </row>
    <row r="215" spans="1:9">
      <c r="A215" s="140">
        <f t="shared" si="47"/>
        <v>198</v>
      </c>
      <c r="B215" s="142">
        <f t="shared" si="51"/>
        <v>52291</v>
      </c>
      <c r="C215" s="141">
        <f t="shared" ca="1" si="48"/>
        <v>2837015.6663000002</v>
      </c>
      <c r="D215" s="140"/>
      <c r="E215" s="141">
        <f t="shared" si="44"/>
        <v>0</v>
      </c>
      <c r="F215" s="141">
        <f t="shared" ca="1" si="45"/>
        <v>-11820.898999999999</v>
      </c>
      <c r="G215" s="141">
        <f t="shared" ca="1" si="49"/>
        <v>11820.898999999999</v>
      </c>
      <c r="H215" s="141">
        <f t="shared" ca="1" si="50"/>
        <v>2848836.5652999999</v>
      </c>
      <c r="I215" s="288">
        <f t="shared" ca="1" si="46"/>
        <v>-2848837</v>
      </c>
    </row>
    <row r="216" spans="1:9">
      <c r="A216" s="140">
        <f t="shared" si="47"/>
        <v>199</v>
      </c>
      <c r="B216" s="142">
        <f t="shared" si="51"/>
        <v>52322</v>
      </c>
      <c r="C216" s="141">
        <f t="shared" ca="1" si="48"/>
        <v>2848836.5652999999</v>
      </c>
      <c r="D216" s="140"/>
      <c r="E216" s="141">
        <f t="shared" si="44"/>
        <v>0</v>
      </c>
      <c r="F216" s="141">
        <f t="shared" ca="1" si="45"/>
        <v>-11870.152</v>
      </c>
      <c r="G216" s="141">
        <f t="shared" ca="1" si="49"/>
        <v>11870.152</v>
      </c>
      <c r="H216" s="141">
        <f t="shared" ca="1" si="50"/>
        <v>2860706.7173000001</v>
      </c>
      <c r="I216" s="288">
        <f t="shared" ca="1" si="46"/>
        <v>-2860707</v>
      </c>
    </row>
    <row r="217" spans="1:9">
      <c r="A217" s="140">
        <f t="shared" si="47"/>
        <v>200</v>
      </c>
      <c r="B217" s="142">
        <f t="shared" si="51"/>
        <v>52352</v>
      </c>
      <c r="C217" s="141">
        <f t="shared" ca="1" si="48"/>
        <v>2860706.7173000001</v>
      </c>
      <c r="D217" s="140"/>
      <c r="E217" s="141">
        <f t="shared" si="44"/>
        <v>0</v>
      </c>
      <c r="F217" s="141">
        <f t="shared" ca="1" si="45"/>
        <v>-11919.611000000001</v>
      </c>
      <c r="G217" s="141">
        <f t="shared" ca="1" si="49"/>
        <v>11919.611000000001</v>
      </c>
      <c r="H217" s="141">
        <f t="shared" ca="1" si="50"/>
        <v>2872626.3283000002</v>
      </c>
      <c r="I217" s="288">
        <f t="shared" ca="1" si="46"/>
        <v>-2872626</v>
      </c>
    </row>
    <row r="218" spans="1:9">
      <c r="A218" s="140">
        <f t="shared" si="47"/>
        <v>201</v>
      </c>
      <c r="B218" s="142">
        <f t="shared" si="51"/>
        <v>52383</v>
      </c>
      <c r="C218" s="141">
        <f t="shared" ca="1" si="48"/>
        <v>2872626.3283000002</v>
      </c>
      <c r="D218" s="140"/>
      <c r="E218" s="141">
        <f t="shared" si="44"/>
        <v>0</v>
      </c>
      <c r="F218" s="141">
        <f t="shared" ca="1" si="45"/>
        <v>-11969.276</v>
      </c>
      <c r="G218" s="141">
        <f t="shared" ca="1" si="49"/>
        <v>11969.276</v>
      </c>
      <c r="H218" s="141">
        <f t="shared" ca="1" si="50"/>
        <v>2884595.6042999998</v>
      </c>
      <c r="I218" s="288">
        <f t="shared" ca="1" si="46"/>
        <v>-2884596</v>
      </c>
    </row>
    <row r="219" spans="1:9">
      <c r="A219" s="140">
        <f t="shared" si="47"/>
        <v>202</v>
      </c>
      <c r="B219" s="142">
        <f t="shared" si="51"/>
        <v>52413</v>
      </c>
      <c r="C219" s="141">
        <f t="shared" ca="1" si="48"/>
        <v>2884595.6042999998</v>
      </c>
      <c r="D219" s="140"/>
      <c r="E219" s="141">
        <f t="shared" si="44"/>
        <v>0</v>
      </c>
      <c r="F219" s="141">
        <f t="shared" ca="1" si="45"/>
        <v>-12019.147999999999</v>
      </c>
      <c r="G219" s="141">
        <f t="shared" ca="1" si="49"/>
        <v>12019.147999999999</v>
      </c>
      <c r="H219" s="141">
        <f t="shared" ca="1" si="50"/>
        <v>2896614.7522999998</v>
      </c>
      <c r="I219" s="288">
        <f t="shared" ca="1" si="46"/>
        <v>-2896615</v>
      </c>
    </row>
    <row r="220" spans="1:9">
      <c r="A220" s="140">
        <f t="shared" si="47"/>
        <v>203</v>
      </c>
      <c r="B220" s="142">
        <f t="shared" si="51"/>
        <v>52444</v>
      </c>
      <c r="C220" s="141">
        <f t="shared" ca="1" si="48"/>
        <v>2896614.7522999998</v>
      </c>
      <c r="D220" s="140"/>
      <c r="E220" s="141">
        <f>IF($D$10=1,IF(MONTH(B220)=MONTH($D$7),D219-'Sch3-Perf Period Cash Flow'!T7,0),IF(MONTH(B220)=MONTH(EDATE($D$7,11)),IF(AND(H219&gt;D209,H219&lt;K33-L33), H219, MIN(D209,H219))-'Sch3-Perf Period Cash Flow'!T7,0))</f>
        <v>0</v>
      </c>
      <c r="F220" s="141">
        <f t="shared" ca="1" si="45"/>
        <v>-12069.227999999999</v>
      </c>
      <c r="G220" s="141">
        <f t="shared" ca="1" si="49"/>
        <v>12069.227999999999</v>
      </c>
      <c r="H220" s="141">
        <f t="shared" ca="1" si="50"/>
        <v>2908683.9802999999</v>
      </c>
      <c r="I220" s="288">
        <f t="shared" ca="1" si="46"/>
        <v>-2908684</v>
      </c>
    </row>
    <row r="221" spans="1:9">
      <c r="A221" s="140">
        <f t="shared" si="47"/>
        <v>204</v>
      </c>
      <c r="B221" s="142">
        <f t="shared" si="51"/>
        <v>52475</v>
      </c>
      <c r="C221" s="141">
        <f t="shared" ca="1" si="48"/>
        <v>2908683.9802999999</v>
      </c>
      <c r="D221" s="141">
        <f ca="1">IF(H221&lt;0,0,IF((H220+G221)&lt;(K34-L34),H220+G221,K34-L34))</f>
        <v>1924610</v>
      </c>
      <c r="E221" s="141">
        <f ca="1">IF($D$10=1,IF(MONTH(B221)=MONTH($D$7),D220-'Sch3-Perf Period Cash Flow'!T7,0),IF(MONTH(B221)=MONTH(EDATE($D$7,11)),MIN(D209,H220)-'Sch3-Perf Period Cash Flow'!T7,0))</f>
        <v>1884013</v>
      </c>
      <c r="F221" s="141">
        <f t="shared" ca="1" si="45"/>
        <v>1879743.5379999999</v>
      </c>
      <c r="G221" s="141">
        <f t="shared" ca="1" si="49"/>
        <v>4269.4620000000004</v>
      </c>
      <c r="H221" s="141">
        <f t="shared" ca="1" si="50"/>
        <v>1028940.4423</v>
      </c>
      <c r="I221" s="288">
        <f t="shared" ca="1" si="46"/>
        <v>895670</v>
      </c>
    </row>
    <row r="222" spans="1:9">
      <c r="A222" s="140">
        <f t="shared" si="47"/>
        <v>205</v>
      </c>
      <c r="B222" s="142">
        <f t="shared" si="51"/>
        <v>52505</v>
      </c>
      <c r="C222" s="141">
        <f t="shared" ca="1" si="48"/>
        <v>1028940.4423</v>
      </c>
      <c r="D222" s="141"/>
      <c r="E222" s="141">
        <f>IF($D$10=1,IF(MONTH(B222)=MONTH($D$7),D221-'Sch3-Perf Period Cash Flow'!U7,0),IF(MONTH(B222)=MONTH(EDATE($D$7,11)),MIN(D210,H221)-'Sch3-Perf Period Cash Flow'!U7,0))</f>
        <v>0</v>
      </c>
      <c r="F222" s="141">
        <f t="shared" ca="1" si="45"/>
        <v>-4287.2520000000004</v>
      </c>
      <c r="G222" s="141">
        <f t="shared" ca="1" si="49"/>
        <v>4287.2520000000004</v>
      </c>
      <c r="H222" s="141">
        <f t="shared" ca="1" si="50"/>
        <v>1033227.6943</v>
      </c>
      <c r="I222" s="288">
        <f t="shared" ca="1" si="46"/>
        <v>-1033228</v>
      </c>
    </row>
    <row r="223" spans="1:9">
      <c r="A223" s="140">
        <f t="shared" si="47"/>
        <v>206</v>
      </c>
      <c r="B223" s="142">
        <f t="shared" si="51"/>
        <v>52536</v>
      </c>
      <c r="C223" s="141">
        <f t="shared" ca="1" si="48"/>
        <v>1033227.6943</v>
      </c>
      <c r="D223" s="140"/>
      <c r="E223" s="141">
        <f t="shared" si="44"/>
        <v>0</v>
      </c>
      <c r="F223" s="141">
        <f t="shared" ca="1" si="45"/>
        <v>-4305.1149999999998</v>
      </c>
      <c r="G223" s="141">
        <f t="shared" ca="1" si="49"/>
        <v>4305.1149999999998</v>
      </c>
      <c r="H223" s="141">
        <f t="shared" ca="1" si="50"/>
        <v>1037532.8093</v>
      </c>
      <c r="I223" s="288">
        <f t="shared" ca="1" si="46"/>
        <v>-1037533</v>
      </c>
    </row>
    <row r="224" spans="1:9">
      <c r="A224" s="140">
        <f t="shared" si="47"/>
        <v>207</v>
      </c>
      <c r="B224" s="142">
        <f t="shared" si="51"/>
        <v>52566</v>
      </c>
      <c r="C224" s="141">
        <f t="shared" ca="1" si="48"/>
        <v>1037532.8093</v>
      </c>
      <c r="D224" s="140"/>
      <c r="E224" s="141">
        <f t="shared" si="44"/>
        <v>0</v>
      </c>
      <c r="F224" s="141">
        <f t="shared" ca="1" si="45"/>
        <v>-4323.0529999999999</v>
      </c>
      <c r="G224" s="141">
        <f t="shared" ca="1" si="49"/>
        <v>4323.0529999999999</v>
      </c>
      <c r="H224" s="141">
        <f t="shared" ca="1" si="50"/>
        <v>1041855.8623</v>
      </c>
      <c r="I224" s="288">
        <f t="shared" ca="1" si="46"/>
        <v>-1041856</v>
      </c>
    </row>
    <row r="225" spans="1:9">
      <c r="A225" s="140">
        <f t="shared" si="47"/>
        <v>208</v>
      </c>
      <c r="B225" s="142">
        <f t="shared" si="51"/>
        <v>52597</v>
      </c>
      <c r="C225" s="141">
        <f t="shared" ca="1" si="48"/>
        <v>1041855.8623</v>
      </c>
      <c r="D225" s="140"/>
      <c r="E225" s="141">
        <f t="shared" si="44"/>
        <v>0</v>
      </c>
      <c r="F225" s="141">
        <f t="shared" ca="1" si="45"/>
        <v>-4341.0659999999998</v>
      </c>
      <c r="G225" s="141">
        <f t="shared" ca="1" si="49"/>
        <v>4341.0659999999998</v>
      </c>
      <c r="H225" s="141">
        <f t="shared" ca="1" si="50"/>
        <v>1046196.9283</v>
      </c>
      <c r="I225" s="288">
        <f t="shared" ca="1" si="46"/>
        <v>-1046197</v>
      </c>
    </row>
    <row r="226" spans="1:9">
      <c r="A226" s="140">
        <f t="shared" si="47"/>
        <v>209</v>
      </c>
      <c r="B226" s="142">
        <f t="shared" si="51"/>
        <v>52628</v>
      </c>
      <c r="C226" s="141">
        <f t="shared" ca="1" si="48"/>
        <v>1046196.9283</v>
      </c>
      <c r="D226" s="140"/>
      <c r="E226" s="141">
        <f t="shared" si="44"/>
        <v>0</v>
      </c>
      <c r="F226" s="141">
        <f t="shared" ca="1" si="45"/>
        <v>-4359.1540000000005</v>
      </c>
      <c r="G226" s="141">
        <f t="shared" ca="1" si="49"/>
        <v>4359.1540000000005</v>
      </c>
      <c r="H226" s="141">
        <f t="shared" ca="1" si="50"/>
        <v>1050556.0822999999</v>
      </c>
      <c r="I226" s="288">
        <f t="shared" ca="1" si="46"/>
        <v>-1050556</v>
      </c>
    </row>
    <row r="227" spans="1:9">
      <c r="A227" s="140">
        <f t="shared" si="47"/>
        <v>210</v>
      </c>
      <c r="B227" s="142">
        <f t="shared" si="51"/>
        <v>52657</v>
      </c>
      <c r="C227" s="141">
        <f t="shared" ca="1" si="48"/>
        <v>1050556.0822999999</v>
      </c>
      <c r="D227" s="140"/>
      <c r="E227" s="141">
        <f t="shared" si="44"/>
        <v>0</v>
      </c>
      <c r="F227" s="141">
        <f t="shared" ca="1" si="45"/>
        <v>-4377.317</v>
      </c>
      <c r="G227" s="141">
        <f t="shared" ca="1" si="49"/>
        <v>4377.317</v>
      </c>
      <c r="H227" s="141">
        <f t="shared" ca="1" si="50"/>
        <v>1054933.3992999999</v>
      </c>
      <c r="I227" s="288">
        <f t="shared" ca="1" si="46"/>
        <v>-1054933</v>
      </c>
    </row>
    <row r="228" spans="1:9">
      <c r="A228" s="140">
        <f t="shared" si="47"/>
        <v>211</v>
      </c>
      <c r="B228" s="142">
        <f t="shared" si="51"/>
        <v>52688</v>
      </c>
      <c r="C228" s="141">
        <f t="shared" ca="1" si="48"/>
        <v>1054933.3992999999</v>
      </c>
      <c r="D228" s="140"/>
      <c r="E228" s="141">
        <f t="shared" si="44"/>
        <v>0</v>
      </c>
      <c r="F228" s="141">
        <f t="shared" ca="1" si="45"/>
        <v>-4395.5559999999996</v>
      </c>
      <c r="G228" s="141">
        <f t="shared" ca="1" si="49"/>
        <v>4395.5559999999996</v>
      </c>
      <c r="H228" s="141">
        <f t="shared" ca="1" si="50"/>
        <v>1059328.9553</v>
      </c>
      <c r="I228" s="288">
        <f t="shared" ca="1" si="46"/>
        <v>-1059329</v>
      </c>
    </row>
    <row r="229" spans="1:9">
      <c r="A229" s="140">
        <f t="shared" si="47"/>
        <v>212</v>
      </c>
      <c r="B229" s="142">
        <f t="shared" si="51"/>
        <v>52718</v>
      </c>
      <c r="C229" s="141">
        <f t="shared" ca="1" si="48"/>
        <v>1059328.9553</v>
      </c>
      <c r="D229" s="140"/>
      <c r="E229" s="141">
        <f t="shared" si="44"/>
        <v>0</v>
      </c>
      <c r="F229" s="141">
        <f t="shared" ca="1" si="45"/>
        <v>-4413.8710000000001</v>
      </c>
      <c r="G229" s="141">
        <f t="shared" ca="1" si="49"/>
        <v>4413.8710000000001</v>
      </c>
      <c r="H229" s="141">
        <f t="shared" ca="1" si="50"/>
        <v>1063742.8263000001</v>
      </c>
      <c r="I229" s="288">
        <f t="shared" ca="1" si="46"/>
        <v>-1063743</v>
      </c>
    </row>
    <row r="230" spans="1:9">
      <c r="A230" s="140">
        <f t="shared" si="47"/>
        <v>213</v>
      </c>
      <c r="B230" s="142">
        <f t="shared" si="51"/>
        <v>52749</v>
      </c>
      <c r="C230" s="141">
        <f t="shared" ca="1" si="48"/>
        <v>1063742.8263000001</v>
      </c>
      <c r="D230" s="140"/>
      <c r="E230" s="141">
        <f t="shared" si="44"/>
        <v>0</v>
      </c>
      <c r="F230" s="141">
        <f t="shared" ca="1" si="45"/>
        <v>-4432.2619999999997</v>
      </c>
      <c r="G230" s="141">
        <f t="shared" ca="1" si="49"/>
        <v>4432.2619999999997</v>
      </c>
      <c r="H230" s="141">
        <f t="shared" ca="1" si="50"/>
        <v>1068175.0882999999</v>
      </c>
      <c r="I230" s="288">
        <f t="shared" ca="1" si="46"/>
        <v>-1068175</v>
      </c>
    </row>
    <row r="231" spans="1:9">
      <c r="A231" s="140">
        <f t="shared" si="47"/>
        <v>214</v>
      </c>
      <c r="B231" s="142">
        <f t="shared" si="51"/>
        <v>52779</v>
      </c>
      <c r="C231" s="141">
        <f t="shared" ca="1" si="48"/>
        <v>1068175.0882999999</v>
      </c>
      <c r="D231" s="140"/>
      <c r="E231" s="141">
        <f t="shared" si="44"/>
        <v>0</v>
      </c>
      <c r="F231" s="141">
        <f t="shared" ca="1" si="45"/>
        <v>-4450.7299999999996</v>
      </c>
      <c r="G231" s="141">
        <f t="shared" ca="1" si="49"/>
        <v>4450.7299999999996</v>
      </c>
      <c r="H231" s="141">
        <f t="shared" ca="1" si="50"/>
        <v>1072625.8182999999</v>
      </c>
      <c r="I231" s="288">
        <f t="shared" ca="1" si="46"/>
        <v>-1072626</v>
      </c>
    </row>
    <row r="232" spans="1:9">
      <c r="A232" s="140">
        <f t="shared" si="47"/>
        <v>215</v>
      </c>
      <c r="B232" s="142">
        <f t="shared" si="51"/>
        <v>52810</v>
      </c>
      <c r="C232" s="141">
        <f t="shared" ca="1" si="48"/>
        <v>1072625.8182999999</v>
      </c>
      <c r="D232" s="140"/>
      <c r="E232" s="141">
        <f>IF($D$10=1,IF(MONTH(B232)=MONTH($D$7),D231-'Sch3-Perf Period Cash Flow'!U7,0),IF(MONTH(B232)=MONTH(EDATE($D$7,11)),IF(AND(H231&gt;D221,H231&lt;K34-L34), H231, MIN(D221,H231))-'Sch3-Perf Period Cash Flow'!U7,0))</f>
        <v>0</v>
      </c>
      <c r="F232" s="141">
        <f t="shared" ca="1" si="45"/>
        <v>-4469.2740000000003</v>
      </c>
      <c r="G232" s="141">
        <f t="shared" ca="1" si="49"/>
        <v>4469.2740000000003</v>
      </c>
      <c r="H232" s="141">
        <f t="shared" ca="1" si="50"/>
        <v>1077095.0922999999</v>
      </c>
      <c r="I232" s="288">
        <f t="shared" ca="1" si="46"/>
        <v>-1077095</v>
      </c>
    </row>
    <row r="233" spans="1:9" s="287" customFormat="1">
      <c r="A233" s="140">
        <f t="shared" si="47"/>
        <v>216</v>
      </c>
      <c r="B233" s="142">
        <f t="shared" si="51"/>
        <v>52841</v>
      </c>
      <c r="C233" s="141">
        <f t="shared" ca="1" si="48"/>
        <v>1077095.0922999999</v>
      </c>
      <c r="D233" s="141">
        <f ca="1">IF(H233&lt;0,0,IF((H232+G233)&lt;(K35-L35),H232+G233,K35-L35))</f>
        <v>1077095.0922999999</v>
      </c>
      <c r="E233" s="141">
        <f ca="1">IF($D$10=1,IF(MONTH(B233)=MONTH($D$7),D232-'Sch3-Perf Period Cash Flow'!U7,0),IF(MONTH(B233)=MONTH(EDATE($D$7,11)),MIN(D221,H232)-'Sch3-Perf Period Cash Flow'!U7,0))</f>
        <v>1077095.0922999999</v>
      </c>
      <c r="F233" s="141">
        <f t="shared" ca="1" si="45"/>
        <v>1077095.0922999999</v>
      </c>
      <c r="G233" s="141">
        <f t="shared" ca="1" si="49"/>
        <v>0</v>
      </c>
      <c r="H233" s="141">
        <f t="shared" ca="1" si="50"/>
        <v>0</v>
      </c>
      <c r="I233" s="288">
        <f t="shared" ca="1" si="46"/>
        <v>1077095</v>
      </c>
    </row>
    <row r="234" spans="1:9">
      <c r="A234" s="140">
        <f t="shared" si="47"/>
        <v>217</v>
      </c>
      <c r="B234" s="142">
        <f t="shared" si="51"/>
        <v>52871</v>
      </c>
      <c r="C234" s="141">
        <f t="shared" ca="1" si="48"/>
        <v>0</v>
      </c>
      <c r="D234" s="141"/>
      <c r="E234" s="141">
        <f>IF($D$10=1,IF(MONTH(B234)=MONTH($D$7),D233-'Sch3-Perf Period Cash Flow'!V7,0),IF(MONTH(B234)=MONTH(EDATE($D$7,11)),MIN(D222,H233)-'Sch3-Perf Period Cash Flow'!V7,0))</f>
        <v>0</v>
      </c>
      <c r="F234" s="141">
        <f t="shared" ca="1" si="45"/>
        <v>0</v>
      </c>
      <c r="G234" s="141">
        <f t="shared" ca="1" si="49"/>
        <v>0</v>
      </c>
      <c r="H234" s="141">
        <f t="shared" ca="1" si="50"/>
        <v>0</v>
      </c>
      <c r="I234" s="288">
        <f t="shared" ca="1" si="46"/>
        <v>0</v>
      </c>
    </row>
    <row r="235" spans="1:9">
      <c r="A235" s="140">
        <f t="shared" si="47"/>
        <v>218</v>
      </c>
      <c r="B235" s="142">
        <f t="shared" si="51"/>
        <v>52902</v>
      </c>
      <c r="C235" s="141">
        <f t="shared" ca="1" si="48"/>
        <v>0</v>
      </c>
      <c r="D235" s="140"/>
      <c r="E235" s="141">
        <f t="shared" si="44"/>
        <v>0</v>
      </c>
      <c r="F235" s="141">
        <f t="shared" ca="1" si="45"/>
        <v>0</v>
      </c>
      <c r="G235" s="141">
        <f t="shared" ca="1" si="49"/>
        <v>0</v>
      </c>
      <c r="H235" s="141">
        <f t="shared" ca="1" si="50"/>
        <v>0</v>
      </c>
      <c r="I235" s="288">
        <f t="shared" ca="1" si="46"/>
        <v>0</v>
      </c>
    </row>
    <row r="236" spans="1:9">
      <c r="A236" s="140">
        <f t="shared" si="47"/>
        <v>219</v>
      </c>
      <c r="B236" s="142">
        <f t="shared" si="51"/>
        <v>52932</v>
      </c>
      <c r="C236" s="141">
        <f t="shared" ca="1" si="48"/>
        <v>0</v>
      </c>
      <c r="D236" s="140"/>
      <c r="E236" s="141">
        <f t="shared" si="44"/>
        <v>0</v>
      </c>
      <c r="F236" s="141">
        <f t="shared" ca="1" si="45"/>
        <v>0</v>
      </c>
      <c r="G236" s="141">
        <f t="shared" ca="1" si="49"/>
        <v>0</v>
      </c>
      <c r="H236" s="141">
        <f t="shared" ca="1" si="50"/>
        <v>0</v>
      </c>
      <c r="I236" s="288">
        <f t="shared" ca="1" si="46"/>
        <v>0</v>
      </c>
    </row>
    <row r="237" spans="1:9">
      <c r="A237" s="140">
        <f t="shared" si="47"/>
        <v>220</v>
      </c>
      <c r="B237" s="142">
        <f t="shared" si="51"/>
        <v>52963</v>
      </c>
      <c r="C237" s="141">
        <f t="shared" ca="1" si="48"/>
        <v>0</v>
      </c>
      <c r="D237" s="140"/>
      <c r="E237" s="141">
        <f t="shared" si="44"/>
        <v>0</v>
      </c>
      <c r="F237" s="141">
        <f t="shared" ca="1" si="45"/>
        <v>0</v>
      </c>
      <c r="G237" s="141">
        <f t="shared" ca="1" si="49"/>
        <v>0</v>
      </c>
      <c r="H237" s="141">
        <f t="shared" ca="1" si="50"/>
        <v>0</v>
      </c>
      <c r="I237" s="288">
        <f t="shared" ca="1" si="46"/>
        <v>0</v>
      </c>
    </row>
    <row r="238" spans="1:9">
      <c r="A238" s="140">
        <f t="shared" si="47"/>
        <v>221</v>
      </c>
      <c r="B238" s="142">
        <f t="shared" si="51"/>
        <v>52994</v>
      </c>
      <c r="C238" s="141">
        <f t="shared" ca="1" si="48"/>
        <v>0</v>
      </c>
      <c r="D238" s="140"/>
      <c r="E238" s="141">
        <f t="shared" si="44"/>
        <v>0</v>
      </c>
      <c r="F238" s="141">
        <f t="shared" ca="1" si="45"/>
        <v>0</v>
      </c>
      <c r="G238" s="141">
        <f t="shared" ca="1" si="49"/>
        <v>0</v>
      </c>
      <c r="H238" s="141">
        <f t="shared" ca="1" si="50"/>
        <v>0</v>
      </c>
      <c r="I238" s="288">
        <f t="shared" ca="1" si="46"/>
        <v>0</v>
      </c>
    </row>
    <row r="239" spans="1:9">
      <c r="A239" s="140">
        <f t="shared" si="47"/>
        <v>222</v>
      </c>
      <c r="B239" s="142">
        <f t="shared" si="51"/>
        <v>53022</v>
      </c>
      <c r="C239" s="141">
        <f t="shared" ca="1" si="48"/>
        <v>0</v>
      </c>
      <c r="D239" s="140"/>
      <c r="E239" s="141">
        <f t="shared" si="44"/>
        <v>0</v>
      </c>
      <c r="F239" s="141">
        <f t="shared" ca="1" si="45"/>
        <v>0</v>
      </c>
      <c r="G239" s="141">
        <f t="shared" ca="1" si="49"/>
        <v>0</v>
      </c>
      <c r="H239" s="141">
        <f t="shared" ca="1" si="50"/>
        <v>0</v>
      </c>
      <c r="I239" s="288">
        <f t="shared" ca="1" si="46"/>
        <v>0</v>
      </c>
    </row>
    <row r="240" spans="1:9">
      <c r="A240" s="140">
        <f t="shared" si="47"/>
        <v>223</v>
      </c>
      <c r="B240" s="142">
        <f t="shared" si="51"/>
        <v>53053</v>
      </c>
      <c r="C240" s="141">
        <f t="shared" ca="1" si="48"/>
        <v>0</v>
      </c>
      <c r="D240" s="140"/>
      <c r="E240" s="141">
        <f t="shared" si="44"/>
        <v>0</v>
      </c>
      <c r="F240" s="141">
        <f t="shared" ca="1" si="45"/>
        <v>0</v>
      </c>
      <c r="G240" s="141">
        <f t="shared" ca="1" si="49"/>
        <v>0</v>
      </c>
      <c r="H240" s="141">
        <f t="shared" ca="1" si="50"/>
        <v>0</v>
      </c>
      <c r="I240" s="288">
        <f t="shared" ca="1" si="46"/>
        <v>0</v>
      </c>
    </row>
    <row r="241" spans="1:9">
      <c r="A241" s="140">
        <f t="shared" si="47"/>
        <v>224</v>
      </c>
      <c r="B241" s="142">
        <f t="shared" si="51"/>
        <v>53083</v>
      </c>
      <c r="C241" s="141">
        <f t="shared" ca="1" si="48"/>
        <v>0</v>
      </c>
      <c r="D241" s="140"/>
      <c r="E241" s="141">
        <f t="shared" si="44"/>
        <v>0</v>
      </c>
      <c r="F241" s="141">
        <f t="shared" ca="1" si="45"/>
        <v>0</v>
      </c>
      <c r="G241" s="141">
        <f t="shared" ca="1" si="49"/>
        <v>0</v>
      </c>
      <c r="H241" s="141">
        <f t="shared" ca="1" si="50"/>
        <v>0</v>
      </c>
      <c r="I241" s="288">
        <f t="shared" ca="1" si="46"/>
        <v>0</v>
      </c>
    </row>
    <row r="242" spans="1:9">
      <c r="A242" s="140">
        <f t="shared" si="47"/>
        <v>225</v>
      </c>
      <c r="B242" s="142">
        <f t="shared" si="51"/>
        <v>53114</v>
      </c>
      <c r="C242" s="141">
        <f t="shared" ca="1" si="48"/>
        <v>0</v>
      </c>
      <c r="D242" s="140"/>
      <c r="E242" s="141">
        <f t="shared" si="44"/>
        <v>0</v>
      </c>
      <c r="F242" s="141">
        <f t="shared" ca="1" si="45"/>
        <v>0</v>
      </c>
      <c r="G242" s="141">
        <f t="shared" ca="1" si="49"/>
        <v>0</v>
      </c>
      <c r="H242" s="141">
        <f t="shared" ca="1" si="50"/>
        <v>0</v>
      </c>
      <c r="I242" s="288">
        <f t="shared" ca="1" si="46"/>
        <v>0</v>
      </c>
    </row>
    <row r="243" spans="1:9">
      <c r="A243" s="140">
        <f t="shared" si="47"/>
        <v>226</v>
      </c>
      <c r="B243" s="142">
        <f t="shared" si="51"/>
        <v>53144</v>
      </c>
      <c r="C243" s="141">
        <f t="shared" ca="1" si="48"/>
        <v>0</v>
      </c>
      <c r="D243" s="140"/>
      <c r="E243" s="141">
        <f t="shared" si="44"/>
        <v>0</v>
      </c>
      <c r="F243" s="141">
        <f t="shared" ca="1" si="45"/>
        <v>0</v>
      </c>
      <c r="G243" s="141">
        <f t="shared" ca="1" si="49"/>
        <v>0</v>
      </c>
      <c r="H243" s="141">
        <f t="shared" ca="1" si="50"/>
        <v>0</v>
      </c>
      <c r="I243" s="288">
        <f t="shared" ca="1" si="46"/>
        <v>0</v>
      </c>
    </row>
    <row r="244" spans="1:9">
      <c r="A244" s="140">
        <f t="shared" si="47"/>
        <v>227</v>
      </c>
      <c r="B244" s="142">
        <f t="shared" si="51"/>
        <v>53175</v>
      </c>
      <c r="C244" s="141">
        <f t="shared" ca="1" si="48"/>
        <v>0</v>
      </c>
      <c r="D244" s="140"/>
      <c r="E244" s="141">
        <f>IF($D$10=1,IF(MONTH(B244)=MONTH($D$7),D243-'Sch3-Perf Period Cash Flow'!V7,0),IF(MONTH(B244)=MONTH(EDATE($D$7,11)),IF(AND(H243&gt;D233,H243&lt;K35-L35), H243, MIN(D233,H243))-'Sch3-Perf Period Cash Flow'!V7,0))</f>
        <v>0</v>
      </c>
      <c r="F244" s="141">
        <f t="shared" ca="1" si="45"/>
        <v>0</v>
      </c>
      <c r="G244" s="141">
        <f t="shared" ca="1" si="49"/>
        <v>0</v>
      </c>
      <c r="H244" s="141">
        <f t="shared" ca="1" si="50"/>
        <v>0</v>
      </c>
      <c r="I244" s="288">
        <f t="shared" ca="1" si="46"/>
        <v>0</v>
      </c>
    </row>
    <row r="245" spans="1:9">
      <c r="A245" s="140">
        <f t="shared" si="47"/>
        <v>228</v>
      </c>
      <c r="B245" s="142">
        <f t="shared" si="51"/>
        <v>53206</v>
      </c>
      <c r="C245" s="141">
        <f t="shared" ca="1" si="48"/>
        <v>0</v>
      </c>
      <c r="D245" s="141">
        <f ca="1">IF(H245&lt;0,0,IF((H244+G245)&lt;(K36-L36),H244+G245,K36-L36))</f>
        <v>0</v>
      </c>
      <c r="E245" s="141">
        <f ca="1">IF($D$10=1,IF(MONTH(B245)=MONTH($D$7),D244-'Sch3-Perf Period Cash Flow'!V7,0),IF(MONTH(B245)=MONTH(EDATE($D$7,11)),MIN(D233,H244)-'Sch3-Perf Period Cash Flow'!V7,0))</f>
        <v>0</v>
      </c>
      <c r="F245" s="141">
        <f t="shared" ca="1" si="45"/>
        <v>0</v>
      </c>
      <c r="G245" s="141">
        <f t="shared" ca="1" si="49"/>
        <v>0</v>
      </c>
      <c r="H245" s="141">
        <f t="shared" ca="1" si="50"/>
        <v>0</v>
      </c>
      <c r="I245" s="288">
        <f t="shared" ca="1" si="46"/>
        <v>0</v>
      </c>
    </row>
    <row r="246" spans="1:9">
      <c r="A246" s="140">
        <f t="shared" si="47"/>
        <v>229</v>
      </c>
      <c r="B246" s="142">
        <f t="shared" si="51"/>
        <v>53236</v>
      </c>
      <c r="C246" s="141">
        <f t="shared" ca="1" si="48"/>
        <v>0</v>
      </c>
      <c r="D246" s="141"/>
      <c r="E246" s="141">
        <f>IF($D$10=1,IF(MONTH(B246)=MONTH($D$7),D245-'Sch3-Perf Period Cash Flow'!W7,0),IF(MONTH(B246)=MONTH(EDATE($D$7,11)),MIN(D234,H245)-'Sch3-Perf Period Cash Flow'!W7,0))</f>
        <v>0</v>
      </c>
      <c r="F246" s="141">
        <f t="shared" ca="1" si="45"/>
        <v>0</v>
      </c>
      <c r="G246" s="141">
        <f t="shared" ca="1" si="49"/>
        <v>0</v>
      </c>
      <c r="H246" s="141">
        <f t="shared" ca="1" si="50"/>
        <v>0</v>
      </c>
      <c r="I246" s="288">
        <f t="shared" ca="1" si="46"/>
        <v>0</v>
      </c>
    </row>
    <row r="247" spans="1:9">
      <c r="A247" s="140">
        <f t="shared" si="47"/>
        <v>230</v>
      </c>
      <c r="B247" s="142">
        <f t="shared" si="51"/>
        <v>53267</v>
      </c>
      <c r="C247" s="141">
        <f t="shared" ca="1" si="48"/>
        <v>0</v>
      </c>
      <c r="D247" s="140"/>
      <c r="E247" s="141">
        <f t="shared" si="44"/>
        <v>0</v>
      </c>
      <c r="F247" s="141">
        <f t="shared" ca="1" si="45"/>
        <v>0</v>
      </c>
      <c r="G247" s="141">
        <f t="shared" ca="1" si="49"/>
        <v>0</v>
      </c>
      <c r="H247" s="141">
        <f t="shared" ca="1" si="50"/>
        <v>0</v>
      </c>
      <c r="I247" s="288">
        <f t="shared" ca="1" si="46"/>
        <v>0</v>
      </c>
    </row>
    <row r="248" spans="1:9">
      <c r="A248" s="140">
        <f t="shared" si="47"/>
        <v>231</v>
      </c>
      <c r="B248" s="142">
        <f t="shared" si="51"/>
        <v>53297</v>
      </c>
      <c r="C248" s="141">
        <f t="shared" ca="1" si="48"/>
        <v>0</v>
      </c>
      <c r="D248" s="140"/>
      <c r="E248" s="141">
        <f t="shared" si="44"/>
        <v>0</v>
      </c>
      <c r="F248" s="141">
        <f t="shared" ca="1" si="45"/>
        <v>0</v>
      </c>
      <c r="G248" s="141">
        <f t="shared" ca="1" si="49"/>
        <v>0</v>
      </c>
      <c r="H248" s="141">
        <f t="shared" ca="1" si="50"/>
        <v>0</v>
      </c>
      <c r="I248" s="288">
        <f t="shared" ca="1" si="46"/>
        <v>0</v>
      </c>
    </row>
    <row r="249" spans="1:9">
      <c r="A249" s="140">
        <f t="shared" si="47"/>
        <v>232</v>
      </c>
      <c r="B249" s="142">
        <f t="shared" si="51"/>
        <v>53328</v>
      </c>
      <c r="C249" s="141">
        <f t="shared" ca="1" si="48"/>
        <v>0</v>
      </c>
      <c r="D249" s="140"/>
      <c r="E249" s="141">
        <f t="shared" si="44"/>
        <v>0</v>
      </c>
      <c r="F249" s="141">
        <f t="shared" ca="1" si="45"/>
        <v>0</v>
      </c>
      <c r="G249" s="141">
        <f t="shared" ca="1" si="49"/>
        <v>0</v>
      </c>
      <c r="H249" s="141">
        <f t="shared" ca="1" si="50"/>
        <v>0</v>
      </c>
      <c r="I249" s="288">
        <f t="shared" ca="1" si="46"/>
        <v>0</v>
      </c>
    </row>
    <row r="250" spans="1:9">
      <c r="A250" s="140">
        <f t="shared" si="47"/>
        <v>233</v>
      </c>
      <c r="B250" s="142">
        <f t="shared" si="51"/>
        <v>53359</v>
      </c>
      <c r="C250" s="141">
        <f t="shared" ca="1" si="48"/>
        <v>0</v>
      </c>
      <c r="D250" s="140"/>
      <c r="E250" s="141">
        <f t="shared" si="44"/>
        <v>0</v>
      </c>
      <c r="F250" s="141">
        <f t="shared" ca="1" si="45"/>
        <v>0</v>
      </c>
      <c r="G250" s="141">
        <f t="shared" ca="1" si="49"/>
        <v>0</v>
      </c>
      <c r="H250" s="141">
        <f t="shared" ca="1" si="50"/>
        <v>0</v>
      </c>
      <c r="I250" s="288">
        <f t="shared" ca="1" si="46"/>
        <v>0</v>
      </c>
    </row>
    <row r="251" spans="1:9">
      <c r="A251" s="140">
        <f t="shared" si="47"/>
        <v>234</v>
      </c>
      <c r="B251" s="142">
        <f t="shared" si="51"/>
        <v>53387</v>
      </c>
      <c r="C251" s="141">
        <f t="shared" ca="1" si="48"/>
        <v>0</v>
      </c>
      <c r="D251" s="140"/>
      <c r="E251" s="141">
        <f t="shared" si="44"/>
        <v>0</v>
      </c>
      <c r="F251" s="141">
        <f t="shared" ca="1" si="45"/>
        <v>0</v>
      </c>
      <c r="G251" s="141">
        <f t="shared" ca="1" si="49"/>
        <v>0</v>
      </c>
      <c r="H251" s="141">
        <f t="shared" ca="1" si="50"/>
        <v>0</v>
      </c>
      <c r="I251" s="288">
        <f t="shared" ca="1" si="46"/>
        <v>0</v>
      </c>
    </row>
    <row r="252" spans="1:9">
      <c r="A252" s="140">
        <f t="shared" si="47"/>
        <v>235</v>
      </c>
      <c r="B252" s="142">
        <f t="shared" si="51"/>
        <v>53418</v>
      </c>
      <c r="C252" s="141">
        <f t="shared" ca="1" si="48"/>
        <v>0</v>
      </c>
      <c r="D252" s="140"/>
      <c r="E252" s="141">
        <f t="shared" si="44"/>
        <v>0</v>
      </c>
      <c r="F252" s="141">
        <f t="shared" ca="1" si="45"/>
        <v>0</v>
      </c>
      <c r="G252" s="141">
        <f t="shared" ca="1" si="49"/>
        <v>0</v>
      </c>
      <c r="H252" s="141">
        <f t="shared" ca="1" si="50"/>
        <v>0</v>
      </c>
      <c r="I252" s="288">
        <f t="shared" ca="1" si="46"/>
        <v>0</v>
      </c>
    </row>
    <row r="253" spans="1:9">
      <c r="A253" s="140">
        <f t="shared" si="47"/>
        <v>236</v>
      </c>
      <c r="B253" s="142">
        <f t="shared" si="51"/>
        <v>53448</v>
      </c>
      <c r="C253" s="141">
        <f t="shared" ca="1" si="48"/>
        <v>0</v>
      </c>
      <c r="D253" s="140"/>
      <c r="E253" s="141">
        <f t="shared" si="44"/>
        <v>0</v>
      </c>
      <c r="F253" s="141">
        <f t="shared" ca="1" si="45"/>
        <v>0</v>
      </c>
      <c r="G253" s="141">
        <f t="shared" ca="1" si="49"/>
        <v>0</v>
      </c>
      <c r="H253" s="141">
        <f t="shared" ca="1" si="50"/>
        <v>0</v>
      </c>
      <c r="I253" s="288">
        <f t="shared" ca="1" si="46"/>
        <v>0</v>
      </c>
    </row>
    <row r="254" spans="1:9">
      <c r="A254" s="140">
        <f t="shared" si="47"/>
        <v>237</v>
      </c>
      <c r="B254" s="142">
        <f t="shared" si="51"/>
        <v>53479</v>
      </c>
      <c r="C254" s="141">
        <f t="shared" ca="1" si="48"/>
        <v>0</v>
      </c>
      <c r="D254" s="140"/>
      <c r="E254" s="141">
        <f t="shared" si="44"/>
        <v>0</v>
      </c>
      <c r="F254" s="141">
        <f t="shared" ca="1" si="45"/>
        <v>0</v>
      </c>
      <c r="G254" s="141">
        <f t="shared" ca="1" si="49"/>
        <v>0</v>
      </c>
      <c r="H254" s="141">
        <f t="shared" ca="1" si="50"/>
        <v>0</v>
      </c>
      <c r="I254" s="288">
        <f t="shared" ca="1" si="46"/>
        <v>0</v>
      </c>
    </row>
    <row r="255" spans="1:9">
      <c r="A255" s="140">
        <f t="shared" si="47"/>
        <v>238</v>
      </c>
      <c r="B255" s="142">
        <f t="shared" si="51"/>
        <v>53509</v>
      </c>
      <c r="C255" s="141">
        <f t="shared" ca="1" si="48"/>
        <v>0</v>
      </c>
      <c r="D255" s="140"/>
      <c r="E255" s="141">
        <f t="shared" ref="E255:E315" si="52">IF($D$10=1,IF(MONTH(B255)=MONTH($D$7),D254,0),IF(MONTH(B255)=MONTH(EDATE($D$7,11)),MIN(D243,H254),0))</f>
        <v>0</v>
      </c>
      <c r="F255" s="141">
        <f t="shared" ca="1" si="45"/>
        <v>0</v>
      </c>
      <c r="G255" s="141">
        <f t="shared" ca="1" si="49"/>
        <v>0</v>
      </c>
      <c r="H255" s="141">
        <f t="shared" ca="1" si="50"/>
        <v>0</v>
      </c>
      <c r="I255" s="288">
        <f t="shared" ca="1" si="46"/>
        <v>0</v>
      </c>
    </row>
    <row r="256" spans="1:9">
      <c r="A256" s="140">
        <f t="shared" si="47"/>
        <v>239</v>
      </c>
      <c r="B256" s="142">
        <f t="shared" si="51"/>
        <v>53540</v>
      </c>
      <c r="C256" s="141">
        <f t="shared" ca="1" si="48"/>
        <v>0</v>
      </c>
      <c r="D256" s="140"/>
      <c r="E256" s="141">
        <f>IF($D$10=1,IF(MONTH(B256)=MONTH($D$7),D255-'Sch3-Perf Period Cash Flow'!W7,0),IF(MONTH(B256)=MONTH(EDATE($D$7,11)),IF(AND(H255&gt;D245,H255&lt;K36-L36), H255, MIN(D245,H255))-'Sch3-Perf Period Cash Flow'!W7,0))</f>
        <v>0</v>
      </c>
      <c r="F256" s="141">
        <f t="shared" ca="1" si="45"/>
        <v>0</v>
      </c>
      <c r="G256" s="141">
        <f t="shared" ca="1" si="49"/>
        <v>0</v>
      </c>
      <c r="H256" s="141">
        <f t="shared" ca="1" si="50"/>
        <v>0</v>
      </c>
      <c r="I256" s="288">
        <f t="shared" ca="1" si="46"/>
        <v>0</v>
      </c>
    </row>
    <row r="257" spans="1:9">
      <c r="A257" s="140">
        <f t="shared" si="47"/>
        <v>240</v>
      </c>
      <c r="B257" s="142">
        <f t="shared" si="51"/>
        <v>53571</v>
      </c>
      <c r="C257" s="141">
        <f t="shared" ca="1" si="48"/>
        <v>0</v>
      </c>
      <c r="D257" s="141">
        <f ca="1">IF(H257&lt;0,0,IF((H256+G257)&lt;(K37-L37),H256+G257,K37-L37))</f>
        <v>0</v>
      </c>
      <c r="E257" s="141">
        <f ca="1">IF($D$10=1,IF(MONTH(B257)=MONTH($D$7),D256-'Sch3-Perf Period Cash Flow'!W7,0),IF(MONTH(B257)=MONTH(EDATE($D$7,11)),MIN(D245,H256)-'Sch3-Perf Period Cash Flow'!W7,0))</f>
        <v>0</v>
      </c>
      <c r="F257" s="141">
        <f t="shared" ca="1" si="45"/>
        <v>0</v>
      </c>
      <c r="G257" s="141">
        <f t="shared" ca="1" si="49"/>
        <v>0</v>
      </c>
      <c r="H257" s="141">
        <f t="shared" ca="1" si="50"/>
        <v>0</v>
      </c>
      <c r="I257" s="288">
        <f t="shared" ca="1" si="46"/>
        <v>0</v>
      </c>
    </row>
    <row r="258" spans="1:9">
      <c r="A258" s="140">
        <f t="shared" si="47"/>
        <v>241</v>
      </c>
      <c r="B258" s="142">
        <f t="shared" si="51"/>
        <v>53601</v>
      </c>
      <c r="C258" s="141">
        <f t="shared" ca="1" si="48"/>
        <v>0</v>
      </c>
      <c r="D258" s="141"/>
      <c r="E258" s="141">
        <f>IF($D$10=1,IF(MONTH(B258)=MONTH($D$7),D257-'Sch3-Perf Period Cash Flow'!X7,0),IF(MONTH(B258)=MONTH(EDATE($D$7,11)),MIN(D246,H257)-'Sch3-Perf Period Cash Flow'!X7,0))</f>
        <v>0</v>
      </c>
      <c r="F258" s="141">
        <f t="shared" ca="1" si="45"/>
        <v>0</v>
      </c>
      <c r="G258" s="141">
        <f t="shared" ca="1" si="49"/>
        <v>0</v>
      </c>
      <c r="H258" s="141">
        <f t="shared" ca="1" si="50"/>
        <v>0</v>
      </c>
      <c r="I258" s="288">
        <f t="shared" ca="1" si="46"/>
        <v>0</v>
      </c>
    </row>
    <row r="259" spans="1:9">
      <c r="A259" s="140">
        <f t="shared" si="47"/>
        <v>242</v>
      </c>
      <c r="B259" s="142">
        <f t="shared" si="51"/>
        <v>53632</v>
      </c>
      <c r="C259" s="141">
        <f t="shared" ca="1" si="48"/>
        <v>0</v>
      </c>
      <c r="D259" s="140"/>
      <c r="E259" s="141">
        <f t="shared" si="52"/>
        <v>0</v>
      </c>
      <c r="F259" s="141">
        <f t="shared" ca="1" si="45"/>
        <v>0</v>
      </c>
      <c r="G259" s="141">
        <f t="shared" ca="1" si="49"/>
        <v>0</v>
      </c>
      <c r="H259" s="141">
        <f t="shared" ca="1" si="50"/>
        <v>0</v>
      </c>
      <c r="I259" s="288">
        <f t="shared" ca="1" si="46"/>
        <v>0</v>
      </c>
    </row>
    <row r="260" spans="1:9">
      <c r="A260" s="140">
        <f t="shared" si="47"/>
        <v>243</v>
      </c>
      <c r="B260" s="142">
        <f t="shared" si="51"/>
        <v>53662</v>
      </c>
      <c r="C260" s="141">
        <f t="shared" ca="1" si="48"/>
        <v>0</v>
      </c>
      <c r="D260" s="140"/>
      <c r="E260" s="141">
        <f t="shared" si="52"/>
        <v>0</v>
      </c>
      <c r="F260" s="141">
        <f t="shared" ca="1" si="45"/>
        <v>0</v>
      </c>
      <c r="G260" s="141">
        <f t="shared" ca="1" si="49"/>
        <v>0</v>
      </c>
      <c r="H260" s="141">
        <f t="shared" ca="1" si="50"/>
        <v>0</v>
      </c>
      <c r="I260" s="288">
        <f t="shared" ca="1" si="46"/>
        <v>0</v>
      </c>
    </row>
    <row r="261" spans="1:9">
      <c r="A261" s="140">
        <f t="shared" si="47"/>
        <v>244</v>
      </c>
      <c r="B261" s="142">
        <f t="shared" si="51"/>
        <v>53693</v>
      </c>
      <c r="C261" s="141">
        <f t="shared" ca="1" si="48"/>
        <v>0</v>
      </c>
      <c r="D261" s="140"/>
      <c r="E261" s="141">
        <f t="shared" si="52"/>
        <v>0</v>
      </c>
      <c r="F261" s="141">
        <f t="shared" ca="1" si="45"/>
        <v>0</v>
      </c>
      <c r="G261" s="141">
        <f t="shared" ca="1" si="49"/>
        <v>0</v>
      </c>
      <c r="H261" s="141">
        <f t="shared" ca="1" si="50"/>
        <v>0</v>
      </c>
      <c r="I261" s="288">
        <f t="shared" ca="1" si="46"/>
        <v>0</v>
      </c>
    </row>
    <row r="262" spans="1:9">
      <c r="A262" s="140">
        <f t="shared" si="47"/>
        <v>245</v>
      </c>
      <c r="B262" s="142">
        <f t="shared" si="51"/>
        <v>53724</v>
      </c>
      <c r="C262" s="141">
        <f t="shared" ca="1" si="48"/>
        <v>0</v>
      </c>
      <c r="D262" s="140"/>
      <c r="E262" s="141">
        <f t="shared" si="52"/>
        <v>0</v>
      </c>
      <c r="F262" s="141">
        <f t="shared" ca="1" si="45"/>
        <v>0</v>
      </c>
      <c r="G262" s="141">
        <f t="shared" ca="1" si="49"/>
        <v>0</v>
      </c>
      <c r="H262" s="141">
        <f t="shared" ca="1" si="50"/>
        <v>0</v>
      </c>
      <c r="I262" s="288">
        <f t="shared" ca="1" si="46"/>
        <v>0</v>
      </c>
    </row>
    <row r="263" spans="1:9">
      <c r="A263" s="140">
        <f t="shared" si="47"/>
        <v>246</v>
      </c>
      <c r="B263" s="142">
        <f t="shared" si="51"/>
        <v>53752</v>
      </c>
      <c r="C263" s="141">
        <f t="shared" ca="1" si="48"/>
        <v>0</v>
      </c>
      <c r="D263" s="140"/>
      <c r="E263" s="141">
        <f t="shared" si="52"/>
        <v>0</v>
      </c>
      <c r="F263" s="141">
        <f t="shared" ca="1" si="45"/>
        <v>0</v>
      </c>
      <c r="G263" s="141">
        <f t="shared" ca="1" si="49"/>
        <v>0</v>
      </c>
      <c r="H263" s="141">
        <f t="shared" ca="1" si="50"/>
        <v>0</v>
      </c>
      <c r="I263" s="288">
        <f t="shared" ca="1" si="46"/>
        <v>0</v>
      </c>
    </row>
    <row r="264" spans="1:9">
      <c r="A264" s="140">
        <f t="shared" si="47"/>
        <v>247</v>
      </c>
      <c r="B264" s="142">
        <f t="shared" si="51"/>
        <v>53783</v>
      </c>
      <c r="C264" s="141">
        <f t="shared" ca="1" si="48"/>
        <v>0</v>
      </c>
      <c r="D264" s="140"/>
      <c r="E264" s="141">
        <f t="shared" si="52"/>
        <v>0</v>
      </c>
      <c r="F264" s="141">
        <f t="shared" ca="1" si="45"/>
        <v>0</v>
      </c>
      <c r="G264" s="141">
        <f t="shared" ca="1" si="49"/>
        <v>0</v>
      </c>
      <c r="H264" s="141">
        <f t="shared" ca="1" si="50"/>
        <v>0</v>
      </c>
      <c r="I264" s="288">
        <f t="shared" ca="1" si="46"/>
        <v>0</v>
      </c>
    </row>
    <row r="265" spans="1:9">
      <c r="A265" s="140">
        <f t="shared" si="47"/>
        <v>248</v>
      </c>
      <c r="B265" s="142">
        <f t="shared" si="51"/>
        <v>53813</v>
      </c>
      <c r="C265" s="141">
        <f t="shared" ca="1" si="48"/>
        <v>0</v>
      </c>
      <c r="D265" s="140"/>
      <c r="E265" s="141">
        <f t="shared" si="52"/>
        <v>0</v>
      </c>
      <c r="F265" s="141">
        <f t="shared" ca="1" si="45"/>
        <v>0</v>
      </c>
      <c r="G265" s="141">
        <f t="shared" ca="1" si="49"/>
        <v>0</v>
      </c>
      <c r="H265" s="141">
        <f t="shared" ca="1" si="50"/>
        <v>0</v>
      </c>
      <c r="I265" s="288">
        <f t="shared" ca="1" si="46"/>
        <v>0</v>
      </c>
    </row>
    <row r="266" spans="1:9">
      <c r="A266" s="140">
        <f t="shared" si="47"/>
        <v>249</v>
      </c>
      <c r="B266" s="142">
        <f t="shared" si="51"/>
        <v>53844</v>
      </c>
      <c r="C266" s="141">
        <f t="shared" ca="1" si="48"/>
        <v>0</v>
      </c>
      <c r="D266" s="140"/>
      <c r="E266" s="141">
        <f t="shared" si="52"/>
        <v>0</v>
      </c>
      <c r="F266" s="141">
        <f t="shared" ca="1" si="45"/>
        <v>0</v>
      </c>
      <c r="G266" s="141">
        <f t="shared" ca="1" si="49"/>
        <v>0</v>
      </c>
      <c r="H266" s="141">
        <f t="shared" ca="1" si="50"/>
        <v>0</v>
      </c>
      <c r="I266" s="288">
        <f t="shared" ca="1" si="46"/>
        <v>0</v>
      </c>
    </row>
    <row r="267" spans="1:9">
      <c r="A267" s="140">
        <f t="shared" si="47"/>
        <v>250</v>
      </c>
      <c r="B267" s="142">
        <f t="shared" si="51"/>
        <v>53874</v>
      </c>
      <c r="C267" s="141">
        <f t="shared" ca="1" si="48"/>
        <v>0</v>
      </c>
      <c r="D267" s="140"/>
      <c r="E267" s="141">
        <f t="shared" si="52"/>
        <v>0</v>
      </c>
      <c r="F267" s="141">
        <f t="shared" ca="1" si="45"/>
        <v>0</v>
      </c>
      <c r="G267" s="141">
        <f t="shared" ca="1" si="49"/>
        <v>0</v>
      </c>
      <c r="H267" s="141">
        <f t="shared" ca="1" si="50"/>
        <v>0</v>
      </c>
      <c r="I267" s="288">
        <f t="shared" ca="1" si="46"/>
        <v>0</v>
      </c>
    </row>
    <row r="268" spans="1:9">
      <c r="A268" s="140">
        <f t="shared" si="47"/>
        <v>251</v>
      </c>
      <c r="B268" s="142">
        <f t="shared" si="51"/>
        <v>53905</v>
      </c>
      <c r="C268" s="141">
        <f t="shared" ca="1" si="48"/>
        <v>0</v>
      </c>
      <c r="D268" s="140"/>
      <c r="E268" s="141">
        <f>IF($D$10=1,IF(MONTH(B268)=MONTH($D$7),D267-'Sch3-Perf Period Cash Flow'!X7,0),IF(MONTH(B268)=MONTH(EDATE($D$7,11)),IF(AND(H267&gt;D257,H267&lt;K37-L37), H267, MIN(D257,H267))-'Sch3-Perf Period Cash Flow'!X7,0))</f>
        <v>0</v>
      </c>
      <c r="F268" s="141">
        <f t="shared" ca="1" si="45"/>
        <v>0</v>
      </c>
      <c r="G268" s="141">
        <f t="shared" ca="1" si="49"/>
        <v>0</v>
      </c>
      <c r="H268" s="141">
        <f t="shared" ca="1" si="50"/>
        <v>0</v>
      </c>
      <c r="I268" s="288">
        <f t="shared" ca="1" si="46"/>
        <v>0</v>
      </c>
    </row>
    <row r="269" spans="1:9">
      <c r="A269" s="140">
        <f t="shared" si="47"/>
        <v>252</v>
      </c>
      <c r="B269" s="142">
        <f t="shared" si="51"/>
        <v>53936</v>
      </c>
      <c r="C269" s="141">
        <f t="shared" ca="1" si="48"/>
        <v>0</v>
      </c>
      <c r="D269" s="141">
        <f ca="1">IF(H269&lt;0,0,IF((H268+G269)&lt;(K38-L38),H268+G269,K38-L38))</f>
        <v>0</v>
      </c>
      <c r="E269" s="141">
        <f ca="1">IF($D$10=1,IF(MONTH(B269)=MONTH($D$7),D268-'Sch3-Perf Period Cash Flow'!X7,0),IF(MONTH(B269)=MONTH(EDATE($D$7,11)),MIN(D257,H268)-'Sch3-Perf Period Cash Flow'!X7,0))</f>
        <v>0</v>
      </c>
      <c r="F269" s="141">
        <f t="shared" ca="1" si="45"/>
        <v>0</v>
      </c>
      <c r="G269" s="141">
        <f t="shared" ca="1" si="49"/>
        <v>0</v>
      </c>
      <c r="H269" s="141">
        <f t="shared" ca="1" si="50"/>
        <v>0</v>
      </c>
      <c r="I269" s="288">
        <f t="shared" ca="1" si="46"/>
        <v>0</v>
      </c>
    </row>
    <row r="270" spans="1:9">
      <c r="A270" s="140">
        <f t="shared" si="47"/>
        <v>253</v>
      </c>
      <c r="B270" s="142">
        <f t="shared" si="51"/>
        <v>53966</v>
      </c>
      <c r="C270" s="141">
        <f t="shared" ca="1" si="48"/>
        <v>0</v>
      </c>
      <c r="D270" s="141"/>
      <c r="E270" s="141">
        <f>IF($D$10=1,IF(MONTH(B270)=MONTH($D$7),D269-'Sch3-Perf Period Cash Flow'!Y7,0),IF(MONTH(B270)=MONTH(EDATE($D$7,11)),MIN(D258,H269)-'Sch3-Perf Period Cash Flow'!Y7,0))</f>
        <v>0</v>
      </c>
      <c r="F270" s="141">
        <f t="shared" ca="1" si="45"/>
        <v>0</v>
      </c>
      <c r="G270" s="141">
        <f t="shared" ca="1" si="49"/>
        <v>0</v>
      </c>
      <c r="H270" s="141">
        <f t="shared" ca="1" si="50"/>
        <v>0</v>
      </c>
      <c r="I270" s="288">
        <f t="shared" ca="1" si="46"/>
        <v>0</v>
      </c>
    </row>
    <row r="271" spans="1:9">
      <c r="A271" s="140">
        <f t="shared" si="47"/>
        <v>254</v>
      </c>
      <c r="B271" s="142">
        <f t="shared" si="51"/>
        <v>53997</v>
      </c>
      <c r="C271" s="141">
        <f t="shared" ca="1" si="48"/>
        <v>0</v>
      </c>
      <c r="D271" s="140"/>
      <c r="E271" s="141">
        <f t="shared" si="52"/>
        <v>0</v>
      </c>
      <c r="F271" s="141">
        <f t="shared" ca="1" si="45"/>
        <v>0</v>
      </c>
      <c r="G271" s="141">
        <f t="shared" ca="1" si="49"/>
        <v>0</v>
      </c>
      <c r="H271" s="141">
        <f t="shared" ca="1" si="50"/>
        <v>0</v>
      </c>
      <c r="I271" s="288">
        <f t="shared" ca="1" si="46"/>
        <v>0</v>
      </c>
    </row>
    <row r="272" spans="1:9">
      <c r="A272" s="140">
        <f t="shared" si="47"/>
        <v>255</v>
      </c>
      <c r="B272" s="142">
        <f t="shared" si="51"/>
        <v>54027</v>
      </c>
      <c r="C272" s="141">
        <f t="shared" ca="1" si="48"/>
        <v>0</v>
      </c>
      <c r="D272" s="140"/>
      <c r="E272" s="141">
        <f t="shared" si="52"/>
        <v>0</v>
      </c>
      <c r="F272" s="141">
        <f t="shared" ca="1" si="45"/>
        <v>0</v>
      </c>
      <c r="G272" s="141">
        <f t="shared" ca="1" si="49"/>
        <v>0</v>
      </c>
      <c r="H272" s="141">
        <f t="shared" ca="1" si="50"/>
        <v>0</v>
      </c>
      <c r="I272" s="288">
        <f t="shared" ca="1" si="46"/>
        <v>0</v>
      </c>
    </row>
    <row r="273" spans="1:9">
      <c r="A273" s="140">
        <f t="shared" si="47"/>
        <v>256</v>
      </c>
      <c r="B273" s="142">
        <f t="shared" si="51"/>
        <v>54058</v>
      </c>
      <c r="C273" s="141">
        <f t="shared" ca="1" si="48"/>
        <v>0</v>
      </c>
      <c r="D273" s="140"/>
      <c r="E273" s="141">
        <f t="shared" si="52"/>
        <v>0</v>
      </c>
      <c r="F273" s="141">
        <f t="shared" ca="1" si="45"/>
        <v>0</v>
      </c>
      <c r="G273" s="141">
        <f t="shared" ca="1" si="49"/>
        <v>0</v>
      </c>
      <c r="H273" s="141">
        <f t="shared" ca="1" si="50"/>
        <v>0</v>
      </c>
      <c r="I273" s="288">
        <f t="shared" ca="1" si="46"/>
        <v>0</v>
      </c>
    </row>
    <row r="274" spans="1:9">
      <c r="A274" s="140">
        <f t="shared" si="47"/>
        <v>257</v>
      </c>
      <c r="B274" s="142">
        <f t="shared" si="51"/>
        <v>54089</v>
      </c>
      <c r="C274" s="141">
        <f t="shared" ca="1" si="48"/>
        <v>0</v>
      </c>
      <c r="D274" s="140"/>
      <c r="E274" s="141">
        <f t="shared" si="52"/>
        <v>0</v>
      </c>
      <c r="F274" s="141">
        <f t="shared" ref="F274:F293" ca="1" si="53">IF(E274="","",E274-G274)</f>
        <v>0</v>
      </c>
      <c r="G274" s="141">
        <f t="shared" ca="1" si="49"/>
        <v>0</v>
      </c>
      <c r="H274" s="141">
        <f t="shared" ca="1" si="50"/>
        <v>0</v>
      </c>
      <c r="I274" s="288">
        <f t="shared" ref="I274:I317" ca="1" si="54">ROUND((D274-H274),0)</f>
        <v>0</v>
      </c>
    </row>
    <row r="275" spans="1:9">
      <c r="A275" s="140">
        <f t="shared" ref="A275:A338" si="55">IF(A274="","",IF(A274=$D$6,"",A274+1))</f>
        <v>258</v>
      </c>
      <c r="B275" s="142">
        <f t="shared" si="51"/>
        <v>54118</v>
      </c>
      <c r="C275" s="141">
        <f t="shared" ref="C275:C293" ca="1" si="56">IF(H274=0,0,H274)</f>
        <v>0</v>
      </c>
      <c r="D275" s="140"/>
      <c r="E275" s="141">
        <f t="shared" si="52"/>
        <v>0</v>
      </c>
      <c r="F275" s="141">
        <f t="shared" ca="1" si="53"/>
        <v>0</v>
      </c>
      <c r="G275" s="141">
        <f t="shared" ref="G275:G317" ca="1" si="57">ROUND((C275-E275)*$D$5,3)</f>
        <v>0</v>
      </c>
      <c r="H275" s="141">
        <f t="shared" ref="H275:H317" ca="1" si="58">IF(E275="","",ROUND(H274-F275,4))</f>
        <v>0</v>
      </c>
      <c r="I275" s="288">
        <f t="shared" ca="1" si="54"/>
        <v>0</v>
      </c>
    </row>
    <row r="276" spans="1:9">
      <c r="A276" s="140">
        <f t="shared" si="55"/>
        <v>259</v>
      </c>
      <c r="B276" s="142">
        <f t="shared" ref="B276:B339" si="59">DATE(YEAR(B275),MONTH(B275)+1,1)</f>
        <v>54149</v>
      </c>
      <c r="C276" s="141">
        <f t="shared" ca="1" si="56"/>
        <v>0</v>
      </c>
      <c r="D276" s="140"/>
      <c r="E276" s="141">
        <f t="shared" si="52"/>
        <v>0</v>
      </c>
      <c r="F276" s="141">
        <f t="shared" ca="1" si="53"/>
        <v>0</v>
      </c>
      <c r="G276" s="141">
        <f t="shared" ca="1" si="57"/>
        <v>0</v>
      </c>
      <c r="H276" s="141">
        <f t="shared" ca="1" si="58"/>
        <v>0</v>
      </c>
      <c r="I276" s="288">
        <f t="shared" ca="1" si="54"/>
        <v>0</v>
      </c>
    </row>
    <row r="277" spans="1:9">
      <c r="A277" s="140">
        <f t="shared" si="55"/>
        <v>260</v>
      </c>
      <c r="B277" s="142">
        <f t="shared" si="59"/>
        <v>54179</v>
      </c>
      <c r="C277" s="141">
        <f t="shared" ca="1" si="56"/>
        <v>0</v>
      </c>
      <c r="D277" s="140"/>
      <c r="E277" s="141">
        <f t="shared" si="52"/>
        <v>0</v>
      </c>
      <c r="F277" s="141">
        <f t="shared" ca="1" si="53"/>
        <v>0</v>
      </c>
      <c r="G277" s="141">
        <f t="shared" ca="1" si="57"/>
        <v>0</v>
      </c>
      <c r="H277" s="141">
        <f t="shared" ca="1" si="58"/>
        <v>0</v>
      </c>
      <c r="I277" s="288">
        <f t="shared" ca="1" si="54"/>
        <v>0</v>
      </c>
    </row>
    <row r="278" spans="1:9">
      <c r="A278" s="140">
        <f t="shared" si="55"/>
        <v>261</v>
      </c>
      <c r="B278" s="142">
        <f t="shared" si="59"/>
        <v>54210</v>
      </c>
      <c r="C278" s="141">
        <f t="shared" ca="1" si="56"/>
        <v>0</v>
      </c>
      <c r="D278" s="140"/>
      <c r="E278" s="141">
        <f t="shared" si="52"/>
        <v>0</v>
      </c>
      <c r="F278" s="141">
        <f t="shared" ca="1" si="53"/>
        <v>0</v>
      </c>
      <c r="G278" s="141">
        <f t="shared" ca="1" si="57"/>
        <v>0</v>
      </c>
      <c r="H278" s="141">
        <f t="shared" ca="1" si="58"/>
        <v>0</v>
      </c>
      <c r="I278" s="288">
        <f t="shared" ca="1" si="54"/>
        <v>0</v>
      </c>
    </row>
    <row r="279" spans="1:9">
      <c r="A279" s="140">
        <f t="shared" si="55"/>
        <v>262</v>
      </c>
      <c r="B279" s="142">
        <f t="shared" si="59"/>
        <v>54240</v>
      </c>
      <c r="C279" s="141">
        <f t="shared" ca="1" si="56"/>
        <v>0</v>
      </c>
      <c r="D279" s="140"/>
      <c r="E279" s="141">
        <f t="shared" si="52"/>
        <v>0</v>
      </c>
      <c r="F279" s="141">
        <f t="shared" ca="1" si="53"/>
        <v>0</v>
      </c>
      <c r="G279" s="141">
        <f t="shared" ca="1" si="57"/>
        <v>0</v>
      </c>
      <c r="H279" s="141">
        <f t="shared" ca="1" si="58"/>
        <v>0</v>
      </c>
      <c r="I279" s="288">
        <f t="shared" ca="1" si="54"/>
        <v>0</v>
      </c>
    </row>
    <row r="280" spans="1:9">
      <c r="A280" s="140">
        <f t="shared" si="55"/>
        <v>263</v>
      </c>
      <c r="B280" s="142">
        <f t="shared" si="59"/>
        <v>54271</v>
      </c>
      <c r="C280" s="141">
        <f t="shared" ca="1" si="56"/>
        <v>0</v>
      </c>
      <c r="D280" s="140"/>
      <c r="E280" s="141">
        <f>IF($D$10=1,IF(MONTH(B280)=MONTH($D$7),D279-'Sch3-Perf Period Cash Flow'!Y7,0),IF(MONTH(B280)=MONTH(EDATE($D$7,11)),IF(AND(H279&gt;D269,H279&lt;K38-L38), H279, MIN(D269,H279))-'Sch3-Perf Period Cash Flow'!Y7,0))</f>
        <v>0</v>
      </c>
      <c r="F280" s="141">
        <f t="shared" ca="1" si="53"/>
        <v>0</v>
      </c>
      <c r="G280" s="141">
        <f t="shared" ca="1" si="57"/>
        <v>0</v>
      </c>
      <c r="H280" s="141">
        <f t="shared" ca="1" si="58"/>
        <v>0</v>
      </c>
      <c r="I280" s="288">
        <f t="shared" ca="1" si="54"/>
        <v>0</v>
      </c>
    </row>
    <row r="281" spans="1:9">
      <c r="A281" s="140">
        <f t="shared" si="55"/>
        <v>264</v>
      </c>
      <c r="B281" s="142">
        <f t="shared" si="59"/>
        <v>54302</v>
      </c>
      <c r="C281" s="141">
        <f t="shared" ca="1" si="56"/>
        <v>0</v>
      </c>
      <c r="D281" s="141">
        <f ca="1">IF(H281&lt;0,0,IF((H280+G281)&lt;(K39-L39),H280+G281,K39-L39))</f>
        <v>0</v>
      </c>
      <c r="E281" s="141">
        <f ca="1">IF($D$10=1,IF(MONTH(B281)=MONTH($D$7),D280-'Sch3-Perf Period Cash Flow'!Y7,0),IF(MONTH(B281)=MONTH(EDATE($D$7,11)),MIN(D269,H280)-'Sch3-Perf Period Cash Flow'!Y7,0))</f>
        <v>0</v>
      </c>
      <c r="F281" s="141">
        <f t="shared" ca="1" si="53"/>
        <v>0</v>
      </c>
      <c r="G281" s="141">
        <f t="shared" ca="1" si="57"/>
        <v>0</v>
      </c>
      <c r="H281" s="141">
        <f t="shared" ca="1" si="58"/>
        <v>0</v>
      </c>
      <c r="I281" s="288">
        <f t="shared" ca="1" si="54"/>
        <v>0</v>
      </c>
    </row>
    <row r="282" spans="1:9">
      <c r="A282" s="140">
        <f t="shared" si="55"/>
        <v>265</v>
      </c>
      <c r="B282" s="142">
        <f t="shared" si="59"/>
        <v>54332</v>
      </c>
      <c r="C282" s="141">
        <f t="shared" ca="1" si="56"/>
        <v>0</v>
      </c>
      <c r="D282" s="141"/>
      <c r="E282" s="141">
        <f>IF($D$10=1,IF(MONTH(B282)=MONTH($D$7),D281-'Sch3-Perf Period Cash Flow'!Z7,0),IF(MONTH(B282)=MONTH(EDATE($D$7,11)),MIN(D270,H281)-'Sch3-Perf Period Cash Flow'!Z7,0))</f>
        <v>0</v>
      </c>
      <c r="F282" s="141">
        <f t="shared" ca="1" si="53"/>
        <v>0</v>
      </c>
      <c r="G282" s="141">
        <f t="shared" ca="1" si="57"/>
        <v>0</v>
      </c>
      <c r="H282" s="141">
        <f t="shared" ca="1" si="58"/>
        <v>0</v>
      </c>
      <c r="I282" s="288">
        <f t="shared" ca="1" si="54"/>
        <v>0</v>
      </c>
    </row>
    <row r="283" spans="1:9">
      <c r="A283" s="140">
        <f t="shared" si="55"/>
        <v>266</v>
      </c>
      <c r="B283" s="142">
        <f t="shared" si="59"/>
        <v>54363</v>
      </c>
      <c r="C283" s="141">
        <f t="shared" ca="1" si="56"/>
        <v>0</v>
      </c>
      <c r="D283" s="140"/>
      <c r="E283" s="141">
        <f t="shared" si="52"/>
        <v>0</v>
      </c>
      <c r="F283" s="141">
        <f t="shared" ca="1" si="53"/>
        <v>0</v>
      </c>
      <c r="G283" s="141">
        <f t="shared" ca="1" si="57"/>
        <v>0</v>
      </c>
      <c r="H283" s="141">
        <f t="shared" ca="1" si="58"/>
        <v>0</v>
      </c>
      <c r="I283" s="288">
        <f t="shared" ca="1" si="54"/>
        <v>0</v>
      </c>
    </row>
    <row r="284" spans="1:9">
      <c r="A284" s="140">
        <f t="shared" si="55"/>
        <v>267</v>
      </c>
      <c r="B284" s="142">
        <f t="shared" si="59"/>
        <v>54393</v>
      </c>
      <c r="C284" s="141">
        <f t="shared" ca="1" si="56"/>
        <v>0</v>
      </c>
      <c r="D284" s="140"/>
      <c r="E284" s="141">
        <f t="shared" si="52"/>
        <v>0</v>
      </c>
      <c r="F284" s="141">
        <f t="shared" ca="1" si="53"/>
        <v>0</v>
      </c>
      <c r="G284" s="141">
        <f t="shared" ca="1" si="57"/>
        <v>0</v>
      </c>
      <c r="H284" s="141">
        <f t="shared" ca="1" si="58"/>
        <v>0</v>
      </c>
      <c r="I284" s="288">
        <f t="shared" ca="1" si="54"/>
        <v>0</v>
      </c>
    </row>
    <row r="285" spans="1:9">
      <c r="A285" s="140">
        <f t="shared" si="55"/>
        <v>268</v>
      </c>
      <c r="B285" s="142">
        <f t="shared" si="59"/>
        <v>54424</v>
      </c>
      <c r="C285" s="141">
        <f t="shared" ca="1" si="56"/>
        <v>0</v>
      </c>
      <c r="D285" s="140"/>
      <c r="E285" s="141">
        <f t="shared" si="52"/>
        <v>0</v>
      </c>
      <c r="F285" s="141">
        <f t="shared" ca="1" si="53"/>
        <v>0</v>
      </c>
      <c r="G285" s="141">
        <f t="shared" ca="1" si="57"/>
        <v>0</v>
      </c>
      <c r="H285" s="141">
        <f t="shared" ca="1" si="58"/>
        <v>0</v>
      </c>
      <c r="I285" s="288">
        <f t="shared" ca="1" si="54"/>
        <v>0</v>
      </c>
    </row>
    <row r="286" spans="1:9">
      <c r="A286" s="140">
        <f t="shared" si="55"/>
        <v>269</v>
      </c>
      <c r="B286" s="142">
        <f t="shared" si="59"/>
        <v>54455</v>
      </c>
      <c r="C286" s="141">
        <f t="shared" ca="1" si="56"/>
        <v>0</v>
      </c>
      <c r="D286" s="140"/>
      <c r="E286" s="141">
        <f t="shared" si="52"/>
        <v>0</v>
      </c>
      <c r="F286" s="141">
        <f t="shared" ca="1" si="53"/>
        <v>0</v>
      </c>
      <c r="G286" s="141">
        <f t="shared" ca="1" si="57"/>
        <v>0</v>
      </c>
      <c r="H286" s="141">
        <f t="shared" ca="1" si="58"/>
        <v>0</v>
      </c>
      <c r="I286" s="288">
        <f t="shared" ca="1" si="54"/>
        <v>0</v>
      </c>
    </row>
    <row r="287" spans="1:9">
      <c r="A287" s="140">
        <f t="shared" si="55"/>
        <v>270</v>
      </c>
      <c r="B287" s="142">
        <f t="shared" si="59"/>
        <v>54483</v>
      </c>
      <c r="C287" s="141">
        <f t="shared" ca="1" si="56"/>
        <v>0</v>
      </c>
      <c r="D287" s="140"/>
      <c r="E287" s="141">
        <f t="shared" si="52"/>
        <v>0</v>
      </c>
      <c r="F287" s="141">
        <f t="shared" ca="1" si="53"/>
        <v>0</v>
      </c>
      <c r="G287" s="141">
        <f t="shared" ca="1" si="57"/>
        <v>0</v>
      </c>
      <c r="H287" s="141">
        <f t="shared" ca="1" si="58"/>
        <v>0</v>
      </c>
      <c r="I287" s="288">
        <f t="shared" ca="1" si="54"/>
        <v>0</v>
      </c>
    </row>
    <row r="288" spans="1:9">
      <c r="A288" s="140">
        <f t="shared" si="55"/>
        <v>271</v>
      </c>
      <c r="B288" s="142">
        <f t="shared" si="59"/>
        <v>54514</v>
      </c>
      <c r="C288" s="141">
        <f t="shared" ca="1" si="56"/>
        <v>0</v>
      </c>
      <c r="D288" s="140"/>
      <c r="E288" s="141">
        <f t="shared" si="52"/>
        <v>0</v>
      </c>
      <c r="F288" s="141">
        <f t="shared" ca="1" si="53"/>
        <v>0</v>
      </c>
      <c r="G288" s="141">
        <f t="shared" ca="1" si="57"/>
        <v>0</v>
      </c>
      <c r="H288" s="141">
        <f t="shared" ca="1" si="58"/>
        <v>0</v>
      </c>
      <c r="I288" s="288">
        <f t="shared" ca="1" si="54"/>
        <v>0</v>
      </c>
    </row>
    <row r="289" spans="1:9">
      <c r="A289" s="140">
        <f t="shared" si="55"/>
        <v>272</v>
      </c>
      <c r="B289" s="142">
        <f t="shared" si="59"/>
        <v>54544</v>
      </c>
      <c r="C289" s="141">
        <f t="shared" ca="1" si="56"/>
        <v>0</v>
      </c>
      <c r="D289" s="140"/>
      <c r="E289" s="141">
        <f t="shared" si="52"/>
        <v>0</v>
      </c>
      <c r="F289" s="141">
        <f t="shared" ca="1" si="53"/>
        <v>0</v>
      </c>
      <c r="G289" s="141">
        <f t="shared" ca="1" si="57"/>
        <v>0</v>
      </c>
      <c r="H289" s="141">
        <f t="shared" ca="1" si="58"/>
        <v>0</v>
      </c>
      <c r="I289" s="288">
        <f t="shared" ca="1" si="54"/>
        <v>0</v>
      </c>
    </row>
    <row r="290" spans="1:9">
      <c r="A290" s="140">
        <f t="shared" si="55"/>
        <v>273</v>
      </c>
      <c r="B290" s="142">
        <f t="shared" si="59"/>
        <v>54575</v>
      </c>
      <c r="C290" s="141">
        <f t="shared" ca="1" si="56"/>
        <v>0</v>
      </c>
      <c r="D290" s="140"/>
      <c r="E290" s="141">
        <f t="shared" si="52"/>
        <v>0</v>
      </c>
      <c r="F290" s="141">
        <f t="shared" ca="1" si="53"/>
        <v>0</v>
      </c>
      <c r="G290" s="141">
        <f t="shared" ca="1" si="57"/>
        <v>0</v>
      </c>
      <c r="H290" s="141">
        <f t="shared" ca="1" si="58"/>
        <v>0</v>
      </c>
      <c r="I290" s="288">
        <f t="shared" ca="1" si="54"/>
        <v>0</v>
      </c>
    </row>
    <row r="291" spans="1:9">
      <c r="A291" s="140">
        <f t="shared" si="55"/>
        <v>274</v>
      </c>
      <c r="B291" s="142">
        <f t="shared" si="59"/>
        <v>54605</v>
      </c>
      <c r="C291" s="141">
        <f t="shared" ca="1" si="56"/>
        <v>0</v>
      </c>
      <c r="D291" s="140"/>
      <c r="E291" s="141">
        <f t="shared" si="52"/>
        <v>0</v>
      </c>
      <c r="F291" s="141">
        <f t="shared" ca="1" si="53"/>
        <v>0</v>
      </c>
      <c r="G291" s="141">
        <f t="shared" ca="1" si="57"/>
        <v>0</v>
      </c>
      <c r="H291" s="141">
        <f t="shared" ca="1" si="58"/>
        <v>0</v>
      </c>
      <c r="I291" s="288">
        <f t="shared" ca="1" si="54"/>
        <v>0</v>
      </c>
    </row>
    <row r="292" spans="1:9">
      <c r="A292" s="140">
        <f t="shared" si="55"/>
        <v>275</v>
      </c>
      <c r="B292" s="142">
        <f t="shared" si="59"/>
        <v>54636</v>
      </c>
      <c r="C292" s="141">
        <f t="shared" ca="1" si="56"/>
        <v>0</v>
      </c>
      <c r="D292" s="140"/>
      <c r="E292" s="141">
        <f>IF($D$10=1,IF(MONTH(B292)=MONTH($D$7),D291-'Sch3-Perf Period Cash Flow'!Z7,0),IF(MONTH(B292)=MONTH(EDATE($D$7,11)),IF(AND(H291&gt;D281,H291&lt;K39-L39), H291, MIN(D281,H291))-'Sch3-Perf Period Cash Flow'!Z7,0))</f>
        <v>0</v>
      </c>
      <c r="F292" s="141">
        <f t="shared" ca="1" si="53"/>
        <v>0</v>
      </c>
      <c r="G292" s="141">
        <f t="shared" ca="1" si="57"/>
        <v>0</v>
      </c>
      <c r="H292" s="141">
        <f t="shared" ca="1" si="58"/>
        <v>0</v>
      </c>
      <c r="I292" s="288">
        <f t="shared" ca="1" si="54"/>
        <v>0</v>
      </c>
    </row>
    <row r="293" spans="1:9">
      <c r="A293" s="140">
        <f t="shared" si="55"/>
        <v>276</v>
      </c>
      <c r="B293" s="142">
        <f t="shared" si="59"/>
        <v>54667</v>
      </c>
      <c r="C293" s="141">
        <f t="shared" ca="1" si="56"/>
        <v>0</v>
      </c>
      <c r="D293" s="141">
        <f ca="1">IF(H293&lt;0,0,IF((H292+G293)&lt;(K40-L40),H292+G293,K40-L40))</f>
        <v>0</v>
      </c>
      <c r="E293" s="141">
        <f ca="1">IF($D$10=1,IF(MONTH(B293)=MONTH($D$7),D292-'Sch3-Perf Period Cash Flow'!Z7,0),IF(MONTH(B293)=MONTH(EDATE($D$7,11)),MIN(D281,H292)-'Sch3-Perf Period Cash Flow'!Z7,0))</f>
        <v>0</v>
      </c>
      <c r="F293" s="141">
        <f t="shared" ca="1" si="53"/>
        <v>0</v>
      </c>
      <c r="G293" s="141">
        <f t="shared" ca="1" si="57"/>
        <v>0</v>
      </c>
      <c r="H293" s="141">
        <f t="shared" ca="1" si="58"/>
        <v>0</v>
      </c>
      <c r="I293" s="288">
        <f t="shared" ca="1" si="54"/>
        <v>0</v>
      </c>
    </row>
    <row r="294" spans="1:9">
      <c r="A294" s="140">
        <f t="shared" si="55"/>
        <v>277</v>
      </c>
      <c r="B294" s="142">
        <f t="shared" si="59"/>
        <v>54697</v>
      </c>
      <c r="C294" s="141">
        <f t="shared" ref="C294:C302" ca="1" si="60">IF(H293=0,0,H293)</f>
        <v>0</v>
      </c>
      <c r="D294" s="140"/>
      <c r="E294" s="141">
        <f>IF($D$10=1,IF(MONTH(B294)=MONTH($D$7),D293-'Sch3-Perf Period Cash Flow'!AA7,0),IF(MONTH(B294)=MONTH(EDATE($D$7,11)),MIN(D282,H293)-'Sch3-Perf Period Cash Flow'!AA7,0))</f>
        <v>0</v>
      </c>
      <c r="F294" s="141">
        <f t="shared" ref="F294:F317" ca="1" si="61">IF(E294="","",E294-G294)</f>
        <v>0</v>
      </c>
      <c r="G294" s="141">
        <f t="shared" ca="1" si="57"/>
        <v>0</v>
      </c>
      <c r="H294" s="141">
        <f t="shared" ca="1" si="58"/>
        <v>0</v>
      </c>
      <c r="I294" s="288">
        <f t="shared" ca="1" si="54"/>
        <v>0</v>
      </c>
    </row>
    <row r="295" spans="1:9">
      <c r="A295" s="140">
        <f t="shared" si="55"/>
        <v>278</v>
      </c>
      <c r="B295" s="142">
        <f t="shared" si="59"/>
        <v>54728</v>
      </c>
      <c r="C295" s="141">
        <f t="shared" ca="1" si="60"/>
        <v>0</v>
      </c>
      <c r="D295" s="140"/>
      <c r="E295" s="141">
        <f t="shared" si="52"/>
        <v>0</v>
      </c>
      <c r="F295" s="141">
        <f t="shared" ca="1" si="61"/>
        <v>0</v>
      </c>
      <c r="G295" s="141">
        <f t="shared" ca="1" si="57"/>
        <v>0</v>
      </c>
      <c r="H295" s="141">
        <f t="shared" ca="1" si="58"/>
        <v>0</v>
      </c>
      <c r="I295" s="288">
        <f t="shared" ca="1" si="54"/>
        <v>0</v>
      </c>
    </row>
    <row r="296" spans="1:9">
      <c r="A296" s="140">
        <f t="shared" si="55"/>
        <v>279</v>
      </c>
      <c r="B296" s="142">
        <f t="shared" si="59"/>
        <v>54758</v>
      </c>
      <c r="C296" s="141">
        <f t="shared" ca="1" si="60"/>
        <v>0</v>
      </c>
      <c r="D296" s="140"/>
      <c r="E296" s="141">
        <f t="shared" si="52"/>
        <v>0</v>
      </c>
      <c r="F296" s="141">
        <f t="shared" ca="1" si="61"/>
        <v>0</v>
      </c>
      <c r="G296" s="141">
        <f t="shared" ca="1" si="57"/>
        <v>0</v>
      </c>
      <c r="H296" s="141">
        <f t="shared" ca="1" si="58"/>
        <v>0</v>
      </c>
      <c r="I296" s="288">
        <f t="shared" ca="1" si="54"/>
        <v>0</v>
      </c>
    </row>
    <row r="297" spans="1:9">
      <c r="A297" s="140">
        <f t="shared" si="55"/>
        <v>280</v>
      </c>
      <c r="B297" s="142">
        <f t="shared" si="59"/>
        <v>54789</v>
      </c>
      <c r="C297" s="141">
        <f t="shared" ca="1" si="60"/>
        <v>0</v>
      </c>
      <c r="D297" s="140"/>
      <c r="E297" s="141">
        <f t="shared" si="52"/>
        <v>0</v>
      </c>
      <c r="F297" s="141">
        <f t="shared" ca="1" si="61"/>
        <v>0</v>
      </c>
      <c r="G297" s="141">
        <f t="shared" ca="1" si="57"/>
        <v>0</v>
      </c>
      <c r="H297" s="141">
        <f t="shared" ca="1" si="58"/>
        <v>0</v>
      </c>
      <c r="I297" s="288">
        <f t="shared" ca="1" si="54"/>
        <v>0</v>
      </c>
    </row>
    <row r="298" spans="1:9">
      <c r="A298" s="140">
        <f t="shared" si="55"/>
        <v>281</v>
      </c>
      <c r="B298" s="142">
        <f t="shared" si="59"/>
        <v>54820</v>
      </c>
      <c r="C298" s="141">
        <f t="shared" ca="1" si="60"/>
        <v>0</v>
      </c>
      <c r="D298" s="140"/>
      <c r="E298" s="141">
        <f t="shared" si="52"/>
        <v>0</v>
      </c>
      <c r="F298" s="141">
        <f t="shared" ca="1" si="61"/>
        <v>0</v>
      </c>
      <c r="G298" s="141">
        <f t="shared" ca="1" si="57"/>
        <v>0</v>
      </c>
      <c r="H298" s="141">
        <f t="shared" ca="1" si="58"/>
        <v>0</v>
      </c>
      <c r="I298" s="288">
        <f t="shared" ca="1" si="54"/>
        <v>0</v>
      </c>
    </row>
    <row r="299" spans="1:9">
      <c r="A299" s="140">
        <f t="shared" si="55"/>
        <v>282</v>
      </c>
      <c r="B299" s="142">
        <f t="shared" si="59"/>
        <v>54848</v>
      </c>
      <c r="C299" s="141">
        <f t="shared" ca="1" si="60"/>
        <v>0</v>
      </c>
      <c r="D299" s="140"/>
      <c r="E299" s="141">
        <f t="shared" si="52"/>
        <v>0</v>
      </c>
      <c r="F299" s="141">
        <f t="shared" ca="1" si="61"/>
        <v>0</v>
      </c>
      <c r="G299" s="141">
        <f t="shared" ca="1" si="57"/>
        <v>0</v>
      </c>
      <c r="H299" s="141">
        <f t="shared" ca="1" si="58"/>
        <v>0</v>
      </c>
      <c r="I299" s="288">
        <f t="shared" ca="1" si="54"/>
        <v>0</v>
      </c>
    </row>
    <row r="300" spans="1:9">
      <c r="A300" s="140">
        <f t="shared" si="55"/>
        <v>283</v>
      </c>
      <c r="B300" s="142">
        <f t="shared" si="59"/>
        <v>54879</v>
      </c>
      <c r="C300" s="141">
        <f t="shared" ca="1" si="60"/>
        <v>0</v>
      </c>
      <c r="D300" s="140"/>
      <c r="E300" s="141">
        <f t="shared" si="52"/>
        <v>0</v>
      </c>
      <c r="F300" s="141">
        <f t="shared" ca="1" si="61"/>
        <v>0</v>
      </c>
      <c r="G300" s="141">
        <f t="shared" ca="1" si="57"/>
        <v>0</v>
      </c>
      <c r="H300" s="141">
        <f t="shared" ca="1" si="58"/>
        <v>0</v>
      </c>
      <c r="I300" s="288">
        <f t="shared" ca="1" si="54"/>
        <v>0</v>
      </c>
    </row>
    <row r="301" spans="1:9">
      <c r="A301" s="140">
        <f t="shared" si="55"/>
        <v>284</v>
      </c>
      <c r="B301" s="142">
        <f t="shared" si="59"/>
        <v>54909</v>
      </c>
      <c r="C301" s="141">
        <f t="shared" ca="1" si="60"/>
        <v>0</v>
      </c>
      <c r="D301" s="140"/>
      <c r="E301" s="141">
        <f t="shared" si="52"/>
        <v>0</v>
      </c>
      <c r="F301" s="141">
        <f t="shared" ca="1" si="61"/>
        <v>0</v>
      </c>
      <c r="G301" s="141">
        <f t="shared" ca="1" si="57"/>
        <v>0</v>
      </c>
      <c r="H301" s="141">
        <f t="shared" ca="1" si="58"/>
        <v>0</v>
      </c>
      <c r="I301" s="288">
        <f t="shared" ca="1" si="54"/>
        <v>0</v>
      </c>
    </row>
    <row r="302" spans="1:9">
      <c r="A302" s="140">
        <f t="shared" si="55"/>
        <v>285</v>
      </c>
      <c r="B302" s="142">
        <f t="shared" si="59"/>
        <v>54940</v>
      </c>
      <c r="C302" s="141">
        <f t="shared" ca="1" si="60"/>
        <v>0</v>
      </c>
      <c r="D302" s="140"/>
      <c r="E302" s="141">
        <f t="shared" si="52"/>
        <v>0</v>
      </c>
      <c r="F302" s="141">
        <f ca="1">IF(E302="","",E302-G302)</f>
        <v>0</v>
      </c>
      <c r="G302" s="141">
        <f t="shared" ca="1" si="57"/>
        <v>0</v>
      </c>
      <c r="H302" s="141">
        <f t="shared" ca="1" si="58"/>
        <v>0</v>
      </c>
      <c r="I302" s="288">
        <f t="shared" ca="1" si="54"/>
        <v>0</v>
      </c>
    </row>
    <row r="303" spans="1:9">
      <c r="A303" s="140">
        <f t="shared" si="55"/>
        <v>286</v>
      </c>
      <c r="B303" s="142">
        <f t="shared" si="59"/>
        <v>54970</v>
      </c>
      <c r="C303" s="141">
        <f t="shared" ref="C303:C310" ca="1" si="62">IF(H302=0,0,H302)</f>
        <v>0</v>
      </c>
      <c r="D303" s="140"/>
      <c r="E303" s="141">
        <f t="shared" si="52"/>
        <v>0</v>
      </c>
      <c r="F303" s="141">
        <f t="shared" ca="1" si="61"/>
        <v>0</v>
      </c>
      <c r="G303" s="141">
        <f t="shared" ca="1" si="57"/>
        <v>0</v>
      </c>
      <c r="H303" s="141">
        <f t="shared" ca="1" si="58"/>
        <v>0</v>
      </c>
      <c r="I303" s="288">
        <f t="shared" ca="1" si="54"/>
        <v>0</v>
      </c>
    </row>
    <row r="304" spans="1:9">
      <c r="A304" s="140">
        <f t="shared" si="55"/>
        <v>287</v>
      </c>
      <c r="B304" s="142">
        <f t="shared" si="59"/>
        <v>55001</v>
      </c>
      <c r="C304" s="141">
        <f t="shared" ca="1" si="62"/>
        <v>0</v>
      </c>
      <c r="D304" s="140"/>
      <c r="E304" s="141">
        <f>IF($D$10=1,IF(MONTH(B304)=MONTH($D$7),D303-'Sch3-Perf Period Cash Flow'!AA7,0),IF(MONTH(B304)=MONTH(EDATE($D$7,11)),IF(AND(H303&gt;D293,H303&lt;K40-L40), H303, MIN(D293,H303))-'Sch3-Perf Period Cash Flow'!AA7,0))</f>
        <v>0</v>
      </c>
      <c r="F304" s="141">
        <f t="shared" ca="1" si="61"/>
        <v>0</v>
      </c>
      <c r="G304" s="141">
        <f t="shared" ca="1" si="57"/>
        <v>0</v>
      </c>
      <c r="H304" s="141">
        <f t="shared" ca="1" si="58"/>
        <v>0</v>
      </c>
      <c r="I304" s="288">
        <f t="shared" ca="1" si="54"/>
        <v>0</v>
      </c>
    </row>
    <row r="305" spans="1:9">
      <c r="A305" s="140">
        <f t="shared" si="55"/>
        <v>288</v>
      </c>
      <c r="B305" s="142">
        <f t="shared" si="59"/>
        <v>55032</v>
      </c>
      <c r="C305" s="141">
        <f t="shared" ca="1" si="62"/>
        <v>0</v>
      </c>
      <c r="D305" s="141">
        <f ca="1">IF(H305&lt;0,0,IF((H304+G305)&lt;(K41-L41),H304+G305,K41-L41))</f>
        <v>0</v>
      </c>
      <c r="E305" s="141">
        <f ca="1">IF($D$10=1,IF(MONTH(B305)=MONTH($D$7),D304-'Sch3-Perf Period Cash Flow'!AA7,0),IF(MONTH(B305)=MONTH(EDATE($D$7,11)),MIN(D293,H304)-'Sch3-Perf Period Cash Flow'!AA7,0))</f>
        <v>0</v>
      </c>
      <c r="F305" s="141">
        <f t="shared" ca="1" si="61"/>
        <v>0</v>
      </c>
      <c r="G305" s="141">
        <f t="shared" ca="1" si="57"/>
        <v>0</v>
      </c>
      <c r="H305" s="141">
        <f t="shared" ca="1" si="58"/>
        <v>0</v>
      </c>
      <c r="I305" s="288">
        <f t="shared" ca="1" si="54"/>
        <v>0</v>
      </c>
    </row>
    <row r="306" spans="1:9">
      <c r="A306" s="140">
        <f t="shared" si="55"/>
        <v>289</v>
      </c>
      <c r="B306" s="142">
        <f t="shared" si="59"/>
        <v>55062</v>
      </c>
      <c r="C306" s="141">
        <f t="shared" ca="1" si="62"/>
        <v>0</v>
      </c>
      <c r="D306" s="140"/>
      <c r="E306" s="141">
        <f>IF($D$10=1,IF(MONTH(B306)=MONTH($D$7),D305-'Sch3-Perf Period Cash Flow'!AB7,0),IF(MONTH(B306)=MONTH(EDATE($D$7,11)),MIN(D294,H305)-'Sch3-Perf Period Cash Flow'!AB7,0))</f>
        <v>0</v>
      </c>
      <c r="F306" s="141">
        <f ca="1">IF(E306="","",E306-G306)</f>
        <v>0</v>
      </c>
      <c r="G306" s="141">
        <f t="shared" ca="1" si="57"/>
        <v>0</v>
      </c>
      <c r="H306" s="141">
        <f t="shared" ca="1" si="58"/>
        <v>0</v>
      </c>
      <c r="I306" s="288">
        <f t="shared" ca="1" si="54"/>
        <v>0</v>
      </c>
    </row>
    <row r="307" spans="1:9">
      <c r="A307" s="140">
        <f t="shared" si="55"/>
        <v>290</v>
      </c>
      <c r="B307" s="142">
        <f t="shared" si="59"/>
        <v>55093</v>
      </c>
      <c r="C307" s="141">
        <f t="shared" ca="1" si="62"/>
        <v>0</v>
      </c>
      <c r="D307" s="140"/>
      <c r="E307" s="141">
        <f t="shared" si="52"/>
        <v>0</v>
      </c>
      <c r="F307" s="141">
        <f t="shared" ca="1" si="61"/>
        <v>0</v>
      </c>
      <c r="G307" s="141">
        <f t="shared" ca="1" si="57"/>
        <v>0</v>
      </c>
      <c r="H307" s="141">
        <f t="shared" ca="1" si="58"/>
        <v>0</v>
      </c>
      <c r="I307" s="288">
        <f t="shared" ca="1" si="54"/>
        <v>0</v>
      </c>
    </row>
    <row r="308" spans="1:9">
      <c r="A308" s="140">
        <f t="shared" si="55"/>
        <v>291</v>
      </c>
      <c r="B308" s="142">
        <f t="shared" si="59"/>
        <v>55123</v>
      </c>
      <c r="C308" s="141">
        <f t="shared" ca="1" si="62"/>
        <v>0</v>
      </c>
      <c r="D308" s="140"/>
      <c r="E308" s="141">
        <f t="shared" si="52"/>
        <v>0</v>
      </c>
      <c r="F308" s="141">
        <f t="shared" ca="1" si="61"/>
        <v>0</v>
      </c>
      <c r="G308" s="141">
        <f t="shared" ca="1" si="57"/>
        <v>0</v>
      </c>
      <c r="H308" s="141">
        <f t="shared" ca="1" si="58"/>
        <v>0</v>
      </c>
      <c r="I308" s="288">
        <f t="shared" ca="1" si="54"/>
        <v>0</v>
      </c>
    </row>
    <row r="309" spans="1:9">
      <c r="A309" s="140">
        <f>IF(A308="","",IF(A308=$D$6,"",A308+1))</f>
        <v>292</v>
      </c>
      <c r="B309" s="142">
        <f t="shared" si="59"/>
        <v>55154</v>
      </c>
      <c r="C309" s="141">
        <f t="shared" ca="1" si="62"/>
        <v>0</v>
      </c>
      <c r="D309" s="140"/>
      <c r="E309" s="141">
        <f t="shared" si="52"/>
        <v>0</v>
      </c>
      <c r="F309" s="141">
        <f t="shared" ca="1" si="61"/>
        <v>0</v>
      </c>
      <c r="G309" s="141">
        <f t="shared" ca="1" si="57"/>
        <v>0</v>
      </c>
      <c r="H309" s="141">
        <f t="shared" ca="1" si="58"/>
        <v>0</v>
      </c>
      <c r="I309" s="288">
        <f t="shared" ca="1" si="54"/>
        <v>0</v>
      </c>
    </row>
    <row r="310" spans="1:9">
      <c r="A310" s="140">
        <f t="shared" si="55"/>
        <v>293</v>
      </c>
      <c r="B310" s="142">
        <f t="shared" si="59"/>
        <v>55185</v>
      </c>
      <c r="C310" s="141">
        <f t="shared" ca="1" si="62"/>
        <v>0</v>
      </c>
      <c r="D310" s="140"/>
      <c r="E310" s="141">
        <f t="shared" si="52"/>
        <v>0</v>
      </c>
      <c r="F310" s="141">
        <f t="shared" ca="1" si="61"/>
        <v>0</v>
      </c>
      <c r="G310" s="141">
        <f t="shared" ca="1" si="57"/>
        <v>0</v>
      </c>
      <c r="H310" s="141">
        <f t="shared" ca="1" si="58"/>
        <v>0</v>
      </c>
      <c r="I310" s="288">
        <f t="shared" ca="1" si="54"/>
        <v>0</v>
      </c>
    </row>
    <row r="311" spans="1:9">
      <c r="A311" s="140">
        <f t="shared" si="55"/>
        <v>294</v>
      </c>
      <c r="B311" s="142">
        <f t="shared" si="59"/>
        <v>55213</v>
      </c>
      <c r="C311" s="141">
        <f t="shared" ref="C311:C316" ca="1" si="63">IF(H310=0,0,H310)</f>
        <v>0</v>
      </c>
      <c r="D311" s="140"/>
      <c r="E311" s="141">
        <f t="shared" si="52"/>
        <v>0</v>
      </c>
      <c r="F311" s="141">
        <f t="shared" ca="1" si="61"/>
        <v>0</v>
      </c>
      <c r="G311" s="141">
        <f t="shared" ca="1" si="57"/>
        <v>0</v>
      </c>
      <c r="H311" s="141">
        <f t="shared" ca="1" si="58"/>
        <v>0</v>
      </c>
      <c r="I311" s="288">
        <f t="shared" ca="1" si="54"/>
        <v>0</v>
      </c>
    </row>
    <row r="312" spans="1:9">
      <c r="A312" s="140">
        <f t="shared" si="55"/>
        <v>295</v>
      </c>
      <c r="B312" s="142">
        <f t="shared" si="59"/>
        <v>55244</v>
      </c>
      <c r="C312" s="141">
        <f t="shared" ca="1" si="63"/>
        <v>0</v>
      </c>
      <c r="D312" s="140"/>
      <c r="E312" s="141">
        <f t="shared" si="52"/>
        <v>0</v>
      </c>
      <c r="F312" s="141">
        <f t="shared" ca="1" si="61"/>
        <v>0</v>
      </c>
      <c r="G312" s="141">
        <f t="shared" ca="1" si="57"/>
        <v>0</v>
      </c>
      <c r="H312" s="141">
        <f t="shared" ca="1" si="58"/>
        <v>0</v>
      </c>
      <c r="I312" s="288">
        <f t="shared" ca="1" si="54"/>
        <v>0</v>
      </c>
    </row>
    <row r="313" spans="1:9">
      <c r="A313" s="140">
        <f t="shared" si="55"/>
        <v>296</v>
      </c>
      <c r="B313" s="142">
        <f t="shared" si="59"/>
        <v>55274</v>
      </c>
      <c r="C313" s="141">
        <f t="shared" ca="1" si="63"/>
        <v>0</v>
      </c>
      <c r="D313" s="140"/>
      <c r="E313" s="141">
        <f t="shared" si="52"/>
        <v>0</v>
      </c>
      <c r="F313" s="141">
        <f t="shared" ca="1" si="61"/>
        <v>0</v>
      </c>
      <c r="G313" s="141">
        <f t="shared" ca="1" si="57"/>
        <v>0</v>
      </c>
      <c r="H313" s="141">
        <f t="shared" ca="1" si="58"/>
        <v>0</v>
      </c>
      <c r="I313" s="288">
        <f t="shared" ca="1" si="54"/>
        <v>0</v>
      </c>
    </row>
    <row r="314" spans="1:9">
      <c r="A314" s="140">
        <f t="shared" si="55"/>
        <v>297</v>
      </c>
      <c r="B314" s="142">
        <f t="shared" si="59"/>
        <v>55305</v>
      </c>
      <c r="C314" s="141">
        <f t="shared" ca="1" si="63"/>
        <v>0</v>
      </c>
      <c r="D314" s="140"/>
      <c r="E314" s="141">
        <f t="shared" si="52"/>
        <v>0</v>
      </c>
      <c r="F314" s="141">
        <f t="shared" ca="1" si="61"/>
        <v>0</v>
      </c>
      <c r="G314" s="141">
        <f t="shared" ca="1" si="57"/>
        <v>0</v>
      </c>
      <c r="H314" s="141">
        <f t="shared" ca="1" si="58"/>
        <v>0</v>
      </c>
      <c r="I314" s="288">
        <f t="shared" ca="1" si="54"/>
        <v>0</v>
      </c>
    </row>
    <row r="315" spans="1:9">
      <c r="A315" s="140">
        <f t="shared" si="55"/>
        <v>298</v>
      </c>
      <c r="B315" s="142">
        <f t="shared" si="59"/>
        <v>55335</v>
      </c>
      <c r="C315" s="141">
        <f t="shared" ca="1" si="63"/>
        <v>0</v>
      </c>
      <c r="D315" s="140"/>
      <c r="E315" s="141">
        <f t="shared" si="52"/>
        <v>0</v>
      </c>
      <c r="F315" s="141">
        <f t="shared" ca="1" si="61"/>
        <v>0</v>
      </c>
      <c r="G315" s="141">
        <f t="shared" ca="1" si="57"/>
        <v>0</v>
      </c>
      <c r="H315" s="141">
        <f t="shared" ca="1" si="58"/>
        <v>0</v>
      </c>
      <c r="I315" s="288">
        <f t="shared" ca="1" si="54"/>
        <v>0</v>
      </c>
    </row>
    <row r="316" spans="1:9">
      <c r="A316" s="140">
        <f t="shared" si="55"/>
        <v>299</v>
      </c>
      <c r="B316" s="142">
        <f t="shared" si="59"/>
        <v>55366</v>
      </c>
      <c r="C316" s="141">
        <f t="shared" ca="1" si="63"/>
        <v>0</v>
      </c>
      <c r="D316" s="140"/>
      <c r="E316" s="141">
        <f>IF($D$10=1,IF(MONTH(B316)=MONTH($D$7),D315-'Sch3-Perf Period Cash Flow'!AB7,0),IF(MONTH(B316)=MONTH(EDATE($D$7,11)),IF(AND(H315&gt;D305,H315&lt;K41-L41), H315, MIN(D305,H315))-'Sch3-Perf Period Cash Flow'!AB7,0))</f>
        <v>0</v>
      </c>
      <c r="F316" s="141">
        <f t="shared" ca="1" si="61"/>
        <v>0</v>
      </c>
      <c r="G316" s="141">
        <f t="shared" ca="1" si="57"/>
        <v>0</v>
      </c>
      <c r="H316" s="141">
        <f t="shared" ca="1" si="58"/>
        <v>0</v>
      </c>
      <c r="I316" s="288">
        <f t="shared" ca="1" si="54"/>
        <v>0</v>
      </c>
    </row>
    <row r="317" spans="1:9">
      <c r="A317" s="140">
        <f t="shared" si="55"/>
        <v>300</v>
      </c>
      <c r="B317" s="142">
        <f t="shared" si="59"/>
        <v>55397</v>
      </c>
      <c r="C317" s="141">
        <f ca="1">IF(H316=0,0,H316)</f>
        <v>0</v>
      </c>
      <c r="D317" s="141">
        <f ca="1">IF(H317&lt;0,0,IF((H316+G317)&lt;(K42-L42),H316+G317,K42-L42))</f>
        <v>0</v>
      </c>
      <c r="E317" s="141">
        <f ca="1">IF($D$10=1,IF(MONTH(B317)=MONTH($D$7),D316-'Sch3-Perf Period Cash Flow'!AB7,0),IF(MONTH(B317)=MONTH(EDATE($D$7,11)),MIN(D305,H316)-'Sch3-Perf Period Cash Flow'!AB7,0))</f>
        <v>0</v>
      </c>
      <c r="F317" s="141">
        <f t="shared" ca="1" si="61"/>
        <v>0</v>
      </c>
      <c r="G317" s="141">
        <f t="shared" ca="1" si="57"/>
        <v>0</v>
      </c>
      <c r="H317" s="141">
        <f t="shared" ca="1" si="58"/>
        <v>0</v>
      </c>
      <c r="I317" s="288">
        <f t="shared" ca="1" si="54"/>
        <v>0</v>
      </c>
    </row>
    <row r="318" spans="1:9">
      <c r="A318" s="140">
        <f t="shared" si="55"/>
        <v>301</v>
      </c>
      <c r="B318" s="142">
        <f t="shared" si="59"/>
        <v>55427</v>
      </c>
      <c r="C318" s="141">
        <f t="shared" ref="C318:C334" ca="1" si="64">IF(H317=0,0,H317)</f>
        <v>0</v>
      </c>
      <c r="D318" s="140"/>
      <c r="E318" s="141">
        <f>IF($D$10=1,IF(MONTH(B318)=MONTH($D$7),D317-'Sch3-Perf Period Cash Flow'!AC7,0),IF(MONTH(B318)=MONTH(EDATE($D$7,11)),MIN(D306,H317)-'Sch3-Perf Period Cash Flow'!AC7,0))</f>
        <v>0</v>
      </c>
      <c r="F318" s="141">
        <f t="shared" ref="F318:F335" ca="1" si="65">IF(E318="","",E318-G318)</f>
        <v>0</v>
      </c>
      <c r="G318" s="141">
        <f t="shared" ref="G318:G335" ca="1" si="66">ROUND((C318-E318)*$D$5,3)</f>
        <v>0</v>
      </c>
      <c r="H318" s="141">
        <f t="shared" ref="H318:H335" ca="1" si="67">IF(E318="","",ROUND(H317-F318,4))</f>
        <v>0</v>
      </c>
      <c r="I318" s="288">
        <f t="shared" ref="I318:I335" ca="1" si="68">ROUND((D318-H318),0)</f>
        <v>0</v>
      </c>
    </row>
    <row r="319" spans="1:9">
      <c r="A319" s="140">
        <f t="shared" si="55"/>
        <v>302</v>
      </c>
      <c r="B319" s="142">
        <f t="shared" si="59"/>
        <v>55458</v>
      </c>
      <c r="C319" s="141">
        <f t="shared" ca="1" si="64"/>
        <v>0</v>
      </c>
      <c r="D319" s="140"/>
      <c r="E319" s="141">
        <f t="shared" ref="E319:E339" si="69">IF($D$10=1,IF(MONTH(B319)=MONTH($D$7),D318,0),IF(MONTH(B319)=MONTH(EDATE($D$7,11)),MIN(D307,H318),0))</f>
        <v>0</v>
      </c>
      <c r="F319" s="141">
        <f t="shared" ca="1" si="65"/>
        <v>0</v>
      </c>
      <c r="G319" s="141">
        <f t="shared" ca="1" si="66"/>
        <v>0</v>
      </c>
      <c r="H319" s="141">
        <f t="shared" ca="1" si="67"/>
        <v>0</v>
      </c>
      <c r="I319" s="288">
        <f t="shared" ca="1" si="68"/>
        <v>0</v>
      </c>
    </row>
    <row r="320" spans="1:9">
      <c r="A320" s="140">
        <f t="shared" si="55"/>
        <v>303</v>
      </c>
      <c r="B320" s="142">
        <f t="shared" si="59"/>
        <v>55488</v>
      </c>
      <c r="C320" s="141">
        <f t="shared" ca="1" si="64"/>
        <v>0</v>
      </c>
      <c r="D320" s="140"/>
      <c r="E320" s="141">
        <f t="shared" si="69"/>
        <v>0</v>
      </c>
      <c r="F320" s="141">
        <f t="shared" ca="1" si="65"/>
        <v>0</v>
      </c>
      <c r="G320" s="141">
        <f t="shared" ca="1" si="66"/>
        <v>0</v>
      </c>
      <c r="H320" s="141">
        <f t="shared" ca="1" si="67"/>
        <v>0</v>
      </c>
      <c r="I320" s="288">
        <f t="shared" ca="1" si="68"/>
        <v>0</v>
      </c>
    </row>
    <row r="321" spans="1:9">
      <c r="A321" s="140">
        <f t="shared" si="55"/>
        <v>304</v>
      </c>
      <c r="B321" s="142">
        <f t="shared" si="59"/>
        <v>55519</v>
      </c>
      <c r="C321" s="141">
        <f t="shared" ca="1" si="64"/>
        <v>0</v>
      </c>
      <c r="D321" s="140"/>
      <c r="E321" s="141">
        <f t="shared" si="69"/>
        <v>0</v>
      </c>
      <c r="F321" s="141">
        <f t="shared" ca="1" si="65"/>
        <v>0</v>
      </c>
      <c r="G321" s="141">
        <f t="shared" ca="1" si="66"/>
        <v>0</v>
      </c>
      <c r="H321" s="141">
        <f t="shared" ca="1" si="67"/>
        <v>0</v>
      </c>
      <c r="I321" s="288">
        <f t="shared" ca="1" si="68"/>
        <v>0</v>
      </c>
    </row>
    <row r="322" spans="1:9">
      <c r="A322" s="140">
        <f t="shared" si="55"/>
        <v>305</v>
      </c>
      <c r="B322" s="142">
        <f t="shared" si="59"/>
        <v>55550</v>
      </c>
      <c r="C322" s="141">
        <f t="shared" ca="1" si="64"/>
        <v>0</v>
      </c>
      <c r="D322" s="140"/>
      <c r="E322" s="141">
        <f t="shared" si="69"/>
        <v>0</v>
      </c>
      <c r="F322" s="141">
        <f t="shared" ca="1" si="65"/>
        <v>0</v>
      </c>
      <c r="G322" s="141">
        <f t="shared" ca="1" si="66"/>
        <v>0</v>
      </c>
      <c r="H322" s="141">
        <f t="shared" ca="1" si="67"/>
        <v>0</v>
      </c>
      <c r="I322" s="288">
        <f t="shared" ca="1" si="68"/>
        <v>0</v>
      </c>
    </row>
    <row r="323" spans="1:9">
      <c r="A323" s="140">
        <f t="shared" si="55"/>
        <v>306</v>
      </c>
      <c r="B323" s="142">
        <f t="shared" si="59"/>
        <v>55579</v>
      </c>
      <c r="C323" s="141">
        <f t="shared" ca="1" si="64"/>
        <v>0</v>
      </c>
      <c r="D323" s="140"/>
      <c r="E323" s="141">
        <f t="shared" si="69"/>
        <v>0</v>
      </c>
      <c r="F323" s="141">
        <f t="shared" ca="1" si="65"/>
        <v>0</v>
      </c>
      <c r="G323" s="141">
        <f t="shared" ca="1" si="66"/>
        <v>0</v>
      </c>
      <c r="H323" s="141">
        <f t="shared" ca="1" si="67"/>
        <v>0</v>
      </c>
      <c r="I323" s="288">
        <f t="shared" ca="1" si="68"/>
        <v>0</v>
      </c>
    </row>
    <row r="324" spans="1:9">
      <c r="A324" s="140">
        <f t="shared" si="55"/>
        <v>307</v>
      </c>
      <c r="B324" s="142">
        <f t="shared" si="59"/>
        <v>55610</v>
      </c>
      <c r="C324" s="141">
        <f t="shared" ca="1" si="64"/>
        <v>0</v>
      </c>
      <c r="D324" s="140"/>
      <c r="E324" s="141">
        <f t="shared" si="69"/>
        <v>0</v>
      </c>
      <c r="F324" s="141">
        <f t="shared" ca="1" si="65"/>
        <v>0</v>
      </c>
      <c r="G324" s="141">
        <f t="shared" ca="1" si="66"/>
        <v>0</v>
      </c>
      <c r="H324" s="141">
        <f t="shared" ca="1" si="67"/>
        <v>0</v>
      </c>
      <c r="I324" s="288">
        <f t="shared" ca="1" si="68"/>
        <v>0</v>
      </c>
    </row>
    <row r="325" spans="1:9">
      <c r="A325" s="140">
        <f t="shared" si="55"/>
        <v>308</v>
      </c>
      <c r="B325" s="142">
        <f t="shared" si="59"/>
        <v>55640</v>
      </c>
      <c r="C325" s="141">
        <f t="shared" ca="1" si="64"/>
        <v>0</v>
      </c>
      <c r="D325" s="140"/>
      <c r="E325" s="141">
        <f t="shared" si="69"/>
        <v>0</v>
      </c>
      <c r="F325" s="141">
        <f t="shared" ca="1" si="65"/>
        <v>0</v>
      </c>
      <c r="G325" s="141">
        <f t="shared" ca="1" si="66"/>
        <v>0</v>
      </c>
      <c r="H325" s="141">
        <f t="shared" ca="1" si="67"/>
        <v>0</v>
      </c>
      <c r="I325" s="288">
        <f t="shared" ca="1" si="68"/>
        <v>0</v>
      </c>
    </row>
    <row r="326" spans="1:9">
      <c r="A326" s="140">
        <f t="shared" si="55"/>
        <v>309</v>
      </c>
      <c r="B326" s="142">
        <f t="shared" si="59"/>
        <v>55671</v>
      </c>
      <c r="C326" s="141">
        <f t="shared" ca="1" si="64"/>
        <v>0</v>
      </c>
      <c r="D326" s="140"/>
      <c r="E326" s="141">
        <f t="shared" si="69"/>
        <v>0</v>
      </c>
      <c r="F326" s="141">
        <f t="shared" ca="1" si="65"/>
        <v>0</v>
      </c>
      <c r="G326" s="141">
        <f t="shared" ca="1" si="66"/>
        <v>0</v>
      </c>
      <c r="H326" s="141">
        <f t="shared" ca="1" si="67"/>
        <v>0</v>
      </c>
      <c r="I326" s="288">
        <f t="shared" ca="1" si="68"/>
        <v>0</v>
      </c>
    </row>
    <row r="327" spans="1:9">
      <c r="A327" s="140">
        <f t="shared" si="55"/>
        <v>310</v>
      </c>
      <c r="B327" s="142">
        <f t="shared" si="59"/>
        <v>55701</v>
      </c>
      <c r="C327" s="141">
        <f t="shared" ca="1" si="64"/>
        <v>0</v>
      </c>
      <c r="D327" s="140"/>
      <c r="E327" s="141">
        <f t="shared" si="69"/>
        <v>0</v>
      </c>
      <c r="F327" s="141">
        <f t="shared" ca="1" si="65"/>
        <v>0</v>
      </c>
      <c r="G327" s="141">
        <f t="shared" ca="1" si="66"/>
        <v>0</v>
      </c>
      <c r="H327" s="141">
        <f t="shared" ca="1" si="67"/>
        <v>0</v>
      </c>
      <c r="I327" s="288">
        <f t="shared" ca="1" si="68"/>
        <v>0</v>
      </c>
    </row>
    <row r="328" spans="1:9">
      <c r="A328" s="140">
        <f t="shared" si="55"/>
        <v>311</v>
      </c>
      <c r="B328" s="142">
        <f t="shared" si="59"/>
        <v>55732</v>
      </c>
      <c r="C328" s="141">
        <f t="shared" ca="1" si="64"/>
        <v>0</v>
      </c>
      <c r="D328" s="140"/>
      <c r="E328" s="141">
        <f>IF($D$10=1,IF(MONTH(B328)=MONTH($D$7),D327-'Sch3-Perf Period Cash Flow'!AB7,0),IF(MONTH(B328)=MONTH(EDATE($D$7,11)),IF(AND(H327&gt;D317,H327&lt;K53-L53), H327, MIN(D317,H327))-'Sch3-Perf Period Cash Flow'!AB7,0))</f>
        <v>0</v>
      </c>
      <c r="F328" s="141">
        <f t="shared" ca="1" si="65"/>
        <v>0</v>
      </c>
      <c r="G328" s="141">
        <f t="shared" ca="1" si="66"/>
        <v>0</v>
      </c>
      <c r="H328" s="141">
        <f t="shared" ca="1" si="67"/>
        <v>0</v>
      </c>
      <c r="I328" s="288">
        <f t="shared" ca="1" si="68"/>
        <v>0</v>
      </c>
    </row>
    <row r="329" spans="1:9">
      <c r="A329" s="140">
        <f t="shared" si="55"/>
        <v>312</v>
      </c>
      <c r="B329" s="142">
        <f t="shared" si="59"/>
        <v>55763</v>
      </c>
      <c r="C329" s="141">
        <f t="shared" ca="1" si="64"/>
        <v>0</v>
      </c>
      <c r="D329" s="141">
        <f ca="1">IF(H329&lt;0,0,IF((H328+G329)&lt;(K43-L43),H328+G329,K43-L43))</f>
        <v>0</v>
      </c>
      <c r="E329" s="141">
        <f ca="1">IF($D$10=1,IF(MONTH(B329)=MONTH($D$7),D328-'Sch3-Perf Period Cash Flow'!AC7,0),IF(MONTH(B329)=MONTH(EDATE($D$7,11)),MIN(D317,H328)-'Sch3-Perf Period Cash Flow'!AC7,0))</f>
        <v>0</v>
      </c>
      <c r="F329" s="141">
        <f t="shared" ca="1" si="65"/>
        <v>0</v>
      </c>
      <c r="G329" s="141">
        <f t="shared" ca="1" si="66"/>
        <v>0</v>
      </c>
      <c r="H329" s="141">
        <f t="shared" ca="1" si="67"/>
        <v>0</v>
      </c>
      <c r="I329" s="288">
        <f t="shared" ca="1" si="68"/>
        <v>0</v>
      </c>
    </row>
    <row r="330" spans="1:9">
      <c r="A330" s="140">
        <f t="shared" si="55"/>
        <v>313</v>
      </c>
      <c r="B330" s="142">
        <f t="shared" si="59"/>
        <v>55793</v>
      </c>
      <c r="C330" s="141">
        <f t="shared" ca="1" si="64"/>
        <v>0</v>
      </c>
      <c r="D330" s="140"/>
      <c r="E330" s="141">
        <f>IF($D$10=1,IF(MONTH(B330)=MONTH($D$7),D329-'Sch3-Perf Period Cash Flow'!AD7,0),IF(MONTH(B330)=MONTH(EDATE($D$7,11)),MIN(D318,H329)-'Sch3-Perf Period Cash Flow'!AD7,0))</f>
        <v>0</v>
      </c>
      <c r="F330" s="141">
        <f t="shared" ca="1" si="65"/>
        <v>0</v>
      </c>
      <c r="G330" s="141">
        <f t="shared" ca="1" si="66"/>
        <v>0</v>
      </c>
      <c r="H330" s="141">
        <f t="shared" ca="1" si="67"/>
        <v>0</v>
      </c>
      <c r="I330" s="288">
        <f t="shared" ca="1" si="68"/>
        <v>0</v>
      </c>
    </row>
    <row r="331" spans="1:9">
      <c r="A331" s="140">
        <f t="shared" si="55"/>
        <v>314</v>
      </c>
      <c r="B331" s="142">
        <f t="shared" si="59"/>
        <v>55824</v>
      </c>
      <c r="C331" s="141">
        <f t="shared" ca="1" si="64"/>
        <v>0</v>
      </c>
      <c r="D331" s="140"/>
      <c r="E331" s="141">
        <f t="shared" si="69"/>
        <v>0</v>
      </c>
      <c r="F331" s="141">
        <f t="shared" ca="1" si="65"/>
        <v>0</v>
      </c>
      <c r="G331" s="141">
        <f t="shared" ca="1" si="66"/>
        <v>0</v>
      </c>
      <c r="H331" s="141">
        <f t="shared" ca="1" si="67"/>
        <v>0</v>
      </c>
      <c r="I331" s="288">
        <f t="shared" ca="1" si="68"/>
        <v>0</v>
      </c>
    </row>
    <row r="332" spans="1:9">
      <c r="A332" s="140">
        <f t="shared" si="55"/>
        <v>315</v>
      </c>
      <c r="B332" s="142">
        <f t="shared" si="59"/>
        <v>55854</v>
      </c>
      <c r="C332" s="141">
        <f t="shared" ca="1" si="64"/>
        <v>0</v>
      </c>
      <c r="D332" s="140"/>
      <c r="E332" s="141">
        <f t="shared" si="69"/>
        <v>0</v>
      </c>
      <c r="F332" s="141">
        <f t="shared" ca="1" si="65"/>
        <v>0</v>
      </c>
      <c r="G332" s="141">
        <f t="shared" ca="1" si="66"/>
        <v>0</v>
      </c>
      <c r="H332" s="141">
        <f t="shared" ca="1" si="67"/>
        <v>0</v>
      </c>
      <c r="I332" s="288">
        <f t="shared" ca="1" si="68"/>
        <v>0</v>
      </c>
    </row>
    <row r="333" spans="1:9">
      <c r="A333" s="140">
        <f t="shared" si="55"/>
        <v>316</v>
      </c>
      <c r="B333" s="142">
        <f t="shared" si="59"/>
        <v>55885</v>
      </c>
      <c r="C333" s="141">
        <f t="shared" ca="1" si="64"/>
        <v>0</v>
      </c>
      <c r="D333" s="140"/>
      <c r="E333" s="141">
        <f t="shared" si="69"/>
        <v>0</v>
      </c>
      <c r="F333" s="141">
        <f t="shared" ca="1" si="65"/>
        <v>0</v>
      </c>
      <c r="G333" s="141">
        <f t="shared" ca="1" si="66"/>
        <v>0</v>
      </c>
      <c r="H333" s="141">
        <f t="shared" ca="1" si="67"/>
        <v>0</v>
      </c>
      <c r="I333" s="288">
        <f t="shared" ca="1" si="68"/>
        <v>0</v>
      </c>
    </row>
    <row r="334" spans="1:9">
      <c r="A334" s="140">
        <f t="shared" si="55"/>
        <v>317</v>
      </c>
      <c r="B334" s="142">
        <f t="shared" si="59"/>
        <v>55916</v>
      </c>
      <c r="C334" s="141">
        <f t="shared" ca="1" si="64"/>
        <v>0</v>
      </c>
      <c r="D334" s="140"/>
      <c r="E334" s="141">
        <f t="shared" si="69"/>
        <v>0</v>
      </c>
      <c r="F334" s="141">
        <f t="shared" ca="1" si="65"/>
        <v>0</v>
      </c>
      <c r="G334" s="141">
        <f t="shared" ca="1" si="66"/>
        <v>0</v>
      </c>
      <c r="H334" s="141">
        <f t="shared" ca="1" si="67"/>
        <v>0</v>
      </c>
      <c r="I334" s="288">
        <f t="shared" ca="1" si="68"/>
        <v>0</v>
      </c>
    </row>
    <row r="335" spans="1:9">
      <c r="A335" s="140">
        <f t="shared" si="55"/>
        <v>318</v>
      </c>
      <c r="B335" s="142">
        <f t="shared" si="59"/>
        <v>55944</v>
      </c>
      <c r="C335" s="141">
        <f ca="1">IF(H334=0,0,H334)</f>
        <v>0</v>
      </c>
      <c r="D335" s="140"/>
      <c r="E335" s="141">
        <f t="shared" si="69"/>
        <v>0</v>
      </c>
      <c r="F335" s="141">
        <f t="shared" ca="1" si="65"/>
        <v>0</v>
      </c>
      <c r="G335" s="141">
        <f t="shared" ca="1" si="66"/>
        <v>0</v>
      </c>
      <c r="H335" s="141">
        <f t="shared" ca="1" si="67"/>
        <v>0</v>
      </c>
      <c r="I335" s="288">
        <f t="shared" ca="1" si="68"/>
        <v>0</v>
      </c>
    </row>
    <row r="336" spans="1:9">
      <c r="A336" s="140">
        <f t="shared" si="55"/>
        <v>319</v>
      </c>
      <c r="B336" s="142">
        <f t="shared" si="59"/>
        <v>55975</v>
      </c>
      <c r="C336" s="141">
        <f t="shared" ref="C336:C343" ca="1" si="70">IF(H335=0,0,H335)</f>
        <v>0</v>
      </c>
      <c r="D336" s="140"/>
      <c r="E336" s="141">
        <f t="shared" si="69"/>
        <v>0</v>
      </c>
      <c r="F336" s="141">
        <f t="shared" ref="F336:F343" ca="1" si="71">IF(E336="","",E336-G336)</f>
        <v>0</v>
      </c>
      <c r="G336" s="141">
        <f t="shared" ref="G336:G343" ca="1" si="72">ROUND((C336-E336)*$D$5,3)</f>
        <v>0</v>
      </c>
      <c r="H336" s="141">
        <f t="shared" ref="H336:H343" ca="1" si="73">IF(E336="","",ROUND(H335-F336,4))</f>
        <v>0</v>
      </c>
      <c r="I336" s="288">
        <f t="shared" ref="I336:I343" ca="1" si="74">ROUND((D336-H336),0)</f>
        <v>0</v>
      </c>
    </row>
    <row r="337" spans="1:9">
      <c r="A337" s="140">
        <f t="shared" si="55"/>
        <v>320</v>
      </c>
      <c r="B337" s="142">
        <f t="shared" si="59"/>
        <v>56005</v>
      </c>
      <c r="C337" s="141">
        <f t="shared" ca="1" si="70"/>
        <v>0</v>
      </c>
      <c r="D337" s="140"/>
      <c r="E337" s="141">
        <f t="shared" si="69"/>
        <v>0</v>
      </c>
      <c r="F337" s="141">
        <f t="shared" ca="1" si="71"/>
        <v>0</v>
      </c>
      <c r="G337" s="141">
        <f t="shared" ca="1" si="72"/>
        <v>0</v>
      </c>
      <c r="H337" s="141">
        <f t="shared" ca="1" si="73"/>
        <v>0</v>
      </c>
      <c r="I337" s="288">
        <f t="shared" ca="1" si="74"/>
        <v>0</v>
      </c>
    </row>
    <row r="338" spans="1:9">
      <c r="A338" s="140">
        <f t="shared" si="55"/>
        <v>321</v>
      </c>
      <c r="B338" s="142">
        <f t="shared" si="59"/>
        <v>56036</v>
      </c>
      <c r="C338" s="141">
        <f t="shared" ca="1" si="70"/>
        <v>0</v>
      </c>
      <c r="D338" s="140"/>
      <c r="E338" s="141">
        <f t="shared" si="69"/>
        <v>0</v>
      </c>
      <c r="F338" s="141">
        <f t="shared" ca="1" si="71"/>
        <v>0</v>
      </c>
      <c r="G338" s="141">
        <f t="shared" ca="1" si="72"/>
        <v>0</v>
      </c>
      <c r="H338" s="141">
        <f t="shared" ca="1" si="73"/>
        <v>0</v>
      </c>
      <c r="I338" s="288">
        <f t="shared" ca="1" si="74"/>
        <v>0</v>
      </c>
    </row>
    <row r="339" spans="1:9">
      <c r="A339" s="140">
        <f t="shared" ref="A339:A402" si="75">IF(A338="","",IF(A338=$D$6,"",A338+1))</f>
        <v>322</v>
      </c>
      <c r="B339" s="142">
        <f t="shared" si="59"/>
        <v>56066</v>
      </c>
      <c r="C339" s="141">
        <f t="shared" ca="1" si="70"/>
        <v>0</v>
      </c>
      <c r="D339" s="140"/>
      <c r="E339" s="141">
        <f t="shared" si="69"/>
        <v>0</v>
      </c>
      <c r="F339" s="141">
        <f t="shared" ca="1" si="71"/>
        <v>0</v>
      </c>
      <c r="G339" s="141">
        <f t="shared" ca="1" si="72"/>
        <v>0</v>
      </c>
      <c r="H339" s="141">
        <f t="shared" ca="1" si="73"/>
        <v>0</v>
      </c>
      <c r="I339" s="288">
        <f t="shared" ca="1" si="74"/>
        <v>0</v>
      </c>
    </row>
    <row r="340" spans="1:9">
      <c r="A340" s="140">
        <f t="shared" si="75"/>
        <v>323</v>
      </c>
      <c r="B340" s="142">
        <f t="shared" ref="B340:B404" si="76">DATE(YEAR(B339),MONTH(B339)+1,1)</f>
        <v>56097</v>
      </c>
      <c r="C340" s="141">
        <f t="shared" ca="1" si="70"/>
        <v>0</v>
      </c>
      <c r="D340" s="140"/>
      <c r="E340" s="141">
        <f>IF($D$10=1,IF(MONTH(B340)=MONTH($D$7),D339-'Sch3-Perf Period Cash Flow'!AC7,0),IF(MONTH(B340)=MONTH(EDATE($D$7,11)),IF(AND(H339&gt;D329,H339&lt;K65-L65), H339, MIN(D329,H339))-'Sch3-Perf Period Cash Flow'!AC7,0))</f>
        <v>0</v>
      </c>
      <c r="F340" s="141">
        <f t="shared" ca="1" si="71"/>
        <v>0</v>
      </c>
      <c r="G340" s="141">
        <f t="shared" ca="1" si="72"/>
        <v>0</v>
      </c>
      <c r="H340" s="141">
        <f t="shared" ca="1" si="73"/>
        <v>0</v>
      </c>
      <c r="I340" s="288">
        <f t="shared" ca="1" si="74"/>
        <v>0</v>
      </c>
    </row>
    <row r="341" spans="1:9">
      <c r="A341" s="140">
        <f t="shared" si="75"/>
        <v>324</v>
      </c>
      <c r="B341" s="142">
        <f t="shared" si="76"/>
        <v>56128</v>
      </c>
      <c r="C341" s="141">
        <f t="shared" ca="1" si="70"/>
        <v>0</v>
      </c>
      <c r="D341" s="141">
        <f ca="1">IF(H341&lt;0,0,IF((H340+G341)&lt;(K44-L44),H340+G341,K44-L44))</f>
        <v>0</v>
      </c>
      <c r="E341" s="141">
        <f ca="1">IF($D$10=1,IF(MONTH(B341)=MONTH($D$7),D340-'Sch3-Perf Period Cash Flow'!AD7,0),IF(MONTH(B341)=MONTH(EDATE($D$7,11)),MIN(D329,H340)-'Sch3-Perf Period Cash Flow'!AD7,0))</f>
        <v>0</v>
      </c>
      <c r="F341" s="141">
        <f t="shared" ca="1" si="71"/>
        <v>0</v>
      </c>
      <c r="G341" s="141">
        <f t="shared" ca="1" si="72"/>
        <v>0</v>
      </c>
      <c r="H341" s="141">
        <f t="shared" ca="1" si="73"/>
        <v>0</v>
      </c>
      <c r="I341" s="288">
        <f t="shared" ca="1" si="74"/>
        <v>0</v>
      </c>
    </row>
    <row r="342" spans="1:9">
      <c r="A342" s="140">
        <f t="shared" si="75"/>
        <v>325</v>
      </c>
      <c r="B342" s="142">
        <f t="shared" si="76"/>
        <v>56158</v>
      </c>
      <c r="C342" s="141">
        <f t="shared" ca="1" si="70"/>
        <v>0</v>
      </c>
      <c r="D342" s="140"/>
      <c r="E342" s="141">
        <f>IF($D$10=1,IF(MONTH(B342)=MONTH($D$7),D341-'Sch3-Perf Period Cash Flow'!AE7,0),IF(MONTH(B342)=MONTH(EDATE($D$7,11)),MIN(D330,H341)-'Sch3-Perf Period Cash Flow'!AE7,0))</f>
        <v>0</v>
      </c>
      <c r="F342" s="141">
        <f t="shared" ca="1" si="71"/>
        <v>0</v>
      </c>
      <c r="G342" s="141">
        <f t="shared" ca="1" si="72"/>
        <v>0</v>
      </c>
      <c r="H342" s="141">
        <f t="shared" ca="1" si="73"/>
        <v>0</v>
      </c>
      <c r="I342" s="288">
        <f t="shared" ca="1" si="74"/>
        <v>0</v>
      </c>
    </row>
    <row r="343" spans="1:9">
      <c r="A343" s="140">
        <f t="shared" si="75"/>
        <v>326</v>
      </c>
      <c r="B343" s="142">
        <f t="shared" si="76"/>
        <v>56189</v>
      </c>
      <c r="C343" s="141">
        <f t="shared" ca="1" si="70"/>
        <v>0</v>
      </c>
      <c r="D343" s="140"/>
      <c r="E343" s="141">
        <f t="shared" ref="E343:E363" si="77">IF($D$10=1,IF(MONTH(B343)=MONTH($D$7),D342,0),IF(MONTH(B343)=MONTH(EDATE($D$7,11)),MIN(D331,H342),0))</f>
        <v>0</v>
      </c>
      <c r="F343" s="141">
        <f t="shared" ca="1" si="71"/>
        <v>0</v>
      </c>
      <c r="G343" s="141">
        <f t="shared" ca="1" si="72"/>
        <v>0</v>
      </c>
      <c r="H343" s="141">
        <f t="shared" ca="1" si="73"/>
        <v>0</v>
      </c>
      <c r="I343" s="288">
        <f t="shared" ca="1" si="74"/>
        <v>0</v>
      </c>
    </row>
    <row r="344" spans="1:9">
      <c r="A344" s="140">
        <f t="shared" si="75"/>
        <v>327</v>
      </c>
      <c r="B344" s="142">
        <f t="shared" si="76"/>
        <v>56219</v>
      </c>
      <c r="C344" s="141">
        <f t="shared" ref="C344:C364" ca="1" si="78">IF(H343=0,0,H343)</f>
        <v>0</v>
      </c>
      <c r="D344" s="140"/>
      <c r="E344" s="141">
        <f t="shared" si="77"/>
        <v>0</v>
      </c>
      <c r="F344" s="141">
        <f t="shared" ref="F344:F364" ca="1" si="79">IF(E344="","",E344-G344)</f>
        <v>0</v>
      </c>
      <c r="G344" s="141">
        <f t="shared" ref="G344:G364" ca="1" si="80">ROUND((C344-E344)*$D$5,3)</f>
        <v>0</v>
      </c>
      <c r="H344" s="141">
        <f t="shared" ref="H344:H364" ca="1" si="81">IF(E344="","",ROUND(H343-F344,4))</f>
        <v>0</v>
      </c>
      <c r="I344" s="288">
        <f t="shared" ref="I344:I364" ca="1" si="82">ROUND((D344-H344),0)</f>
        <v>0</v>
      </c>
    </row>
    <row r="345" spans="1:9">
      <c r="A345" s="140">
        <f t="shared" si="75"/>
        <v>328</v>
      </c>
      <c r="B345" s="142">
        <f t="shared" si="76"/>
        <v>56250</v>
      </c>
      <c r="C345" s="141">
        <f t="shared" ca="1" si="78"/>
        <v>0</v>
      </c>
      <c r="D345" s="140"/>
      <c r="E345" s="141">
        <f t="shared" si="77"/>
        <v>0</v>
      </c>
      <c r="F345" s="141">
        <f t="shared" ca="1" si="79"/>
        <v>0</v>
      </c>
      <c r="G345" s="141">
        <f t="shared" ca="1" si="80"/>
        <v>0</v>
      </c>
      <c r="H345" s="141">
        <f t="shared" ca="1" si="81"/>
        <v>0</v>
      </c>
      <c r="I345" s="288">
        <f t="shared" ca="1" si="82"/>
        <v>0</v>
      </c>
    </row>
    <row r="346" spans="1:9">
      <c r="A346" s="140">
        <f t="shared" si="75"/>
        <v>329</v>
      </c>
      <c r="B346" s="142">
        <f t="shared" si="76"/>
        <v>56281</v>
      </c>
      <c r="C346" s="141">
        <f t="shared" ca="1" si="78"/>
        <v>0</v>
      </c>
      <c r="D346" s="140"/>
      <c r="E346" s="141">
        <f t="shared" si="77"/>
        <v>0</v>
      </c>
      <c r="F346" s="141">
        <f t="shared" ca="1" si="79"/>
        <v>0</v>
      </c>
      <c r="G346" s="141">
        <f t="shared" ca="1" si="80"/>
        <v>0</v>
      </c>
      <c r="H346" s="141">
        <f t="shared" ca="1" si="81"/>
        <v>0</v>
      </c>
      <c r="I346" s="288">
        <f t="shared" ca="1" si="82"/>
        <v>0</v>
      </c>
    </row>
    <row r="347" spans="1:9">
      <c r="A347" s="140">
        <f t="shared" si="75"/>
        <v>330</v>
      </c>
      <c r="B347" s="142">
        <f t="shared" si="76"/>
        <v>56309</v>
      </c>
      <c r="C347" s="141">
        <f t="shared" ca="1" si="78"/>
        <v>0</v>
      </c>
      <c r="D347" s="140"/>
      <c r="E347" s="141">
        <f t="shared" si="77"/>
        <v>0</v>
      </c>
      <c r="F347" s="141">
        <f t="shared" ca="1" si="79"/>
        <v>0</v>
      </c>
      <c r="G347" s="141">
        <f t="shared" ca="1" si="80"/>
        <v>0</v>
      </c>
      <c r="H347" s="141">
        <f t="shared" ca="1" si="81"/>
        <v>0</v>
      </c>
      <c r="I347" s="288">
        <f t="shared" ca="1" si="82"/>
        <v>0</v>
      </c>
    </row>
    <row r="348" spans="1:9">
      <c r="A348" s="140">
        <f t="shared" si="75"/>
        <v>331</v>
      </c>
      <c r="B348" s="142">
        <f t="shared" si="76"/>
        <v>56340</v>
      </c>
      <c r="C348" s="141">
        <f t="shared" ca="1" si="78"/>
        <v>0</v>
      </c>
      <c r="D348" s="140"/>
      <c r="E348" s="141">
        <f t="shared" si="77"/>
        <v>0</v>
      </c>
      <c r="F348" s="141">
        <f t="shared" ca="1" si="79"/>
        <v>0</v>
      </c>
      <c r="G348" s="141">
        <f t="shared" ca="1" si="80"/>
        <v>0</v>
      </c>
      <c r="H348" s="141">
        <f t="shared" ca="1" si="81"/>
        <v>0</v>
      </c>
      <c r="I348" s="288">
        <f t="shared" ca="1" si="82"/>
        <v>0</v>
      </c>
    </row>
    <row r="349" spans="1:9">
      <c r="A349" s="140">
        <f t="shared" si="75"/>
        <v>332</v>
      </c>
      <c r="B349" s="142">
        <f t="shared" si="76"/>
        <v>56370</v>
      </c>
      <c r="C349" s="141">
        <f t="shared" ca="1" si="78"/>
        <v>0</v>
      </c>
      <c r="D349" s="140"/>
      <c r="E349" s="141">
        <f t="shared" si="77"/>
        <v>0</v>
      </c>
      <c r="F349" s="141">
        <f t="shared" ca="1" si="79"/>
        <v>0</v>
      </c>
      <c r="G349" s="141">
        <f t="shared" ca="1" si="80"/>
        <v>0</v>
      </c>
      <c r="H349" s="141">
        <f t="shared" ca="1" si="81"/>
        <v>0</v>
      </c>
      <c r="I349" s="288">
        <f t="shared" ca="1" si="82"/>
        <v>0</v>
      </c>
    </row>
    <row r="350" spans="1:9">
      <c r="A350" s="140">
        <f t="shared" si="75"/>
        <v>333</v>
      </c>
      <c r="B350" s="142">
        <f t="shared" si="76"/>
        <v>56401</v>
      </c>
      <c r="C350" s="141">
        <f t="shared" ca="1" si="78"/>
        <v>0</v>
      </c>
      <c r="D350" s="140"/>
      <c r="E350" s="141">
        <f t="shared" si="77"/>
        <v>0</v>
      </c>
      <c r="F350" s="141">
        <f t="shared" ca="1" si="79"/>
        <v>0</v>
      </c>
      <c r="G350" s="141">
        <f t="shared" ca="1" si="80"/>
        <v>0</v>
      </c>
      <c r="H350" s="141">
        <f t="shared" ca="1" si="81"/>
        <v>0</v>
      </c>
      <c r="I350" s="288">
        <f t="shared" ca="1" si="82"/>
        <v>0</v>
      </c>
    </row>
    <row r="351" spans="1:9">
      <c r="A351" s="140">
        <f t="shared" si="75"/>
        <v>334</v>
      </c>
      <c r="B351" s="142">
        <f t="shared" si="76"/>
        <v>56431</v>
      </c>
      <c r="C351" s="141">
        <f t="shared" ca="1" si="78"/>
        <v>0</v>
      </c>
      <c r="D351" s="140"/>
      <c r="E351" s="141">
        <f t="shared" si="77"/>
        <v>0</v>
      </c>
      <c r="F351" s="141">
        <f t="shared" ca="1" si="79"/>
        <v>0</v>
      </c>
      <c r="G351" s="141">
        <f t="shared" ca="1" si="80"/>
        <v>0</v>
      </c>
      <c r="H351" s="141">
        <f t="shared" ca="1" si="81"/>
        <v>0</v>
      </c>
      <c r="I351" s="288">
        <f t="shared" ca="1" si="82"/>
        <v>0</v>
      </c>
    </row>
    <row r="352" spans="1:9">
      <c r="A352" s="140">
        <f t="shared" si="75"/>
        <v>335</v>
      </c>
      <c r="B352" s="142">
        <f t="shared" si="76"/>
        <v>56462</v>
      </c>
      <c r="C352" s="141">
        <f t="shared" ca="1" si="78"/>
        <v>0</v>
      </c>
      <c r="D352" s="140"/>
      <c r="E352" s="141">
        <f>IF($D$10=1,IF(MONTH(B352)=MONTH($D$7),D351-'Sch3-Perf Period Cash Flow'!AB43,0),IF(MONTH(B352)=MONTH(EDATE($D$7,11)),IF(AND(H351&gt;D341,H351&lt;K77-L77), H351, MIN(D341,H351))-'Sch3-Perf Period Cash Flow'!AB43,0))</f>
        <v>0</v>
      </c>
      <c r="F352" s="141">
        <f t="shared" ca="1" si="79"/>
        <v>0</v>
      </c>
      <c r="G352" s="141">
        <f t="shared" ca="1" si="80"/>
        <v>0</v>
      </c>
      <c r="H352" s="141">
        <f t="shared" ca="1" si="81"/>
        <v>0</v>
      </c>
      <c r="I352" s="288">
        <f t="shared" ca="1" si="82"/>
        <v>0</v>
      </c>
    </row>
    <row r="353" spans="1:9">
      <c r="A353" s="140">
        <f t="shared" si="75"/>
        <v>336</v>
      </c>
      <c r="B353" s="142">
        <f t="shared" si="76"/>
        <v>56493</v>
      </c>
      <c r="C353" s="141">
        <f t="shared" ca="1" si="78"/>
        <v>0</v>
      </c>
      <c r="D353" s="141">
        <f ca="1">IF(H353&lt;0,0,IF((H352+G353)&lt;(K45-L45),H352+G353,K45-L45))</f>
        <v>0</v>
      </c>
      <c r="E353" s="141">
        <f ca="1">IF($D$10=1,IF(MONTH(B353)=MONTH($D$7),D352-'Sch3-Perf Period Cash Flow'!AE7,0),IF(MONTH(B353)=MONTH(EDATE($D$7,11)),MIN(D341,H352)-'Sch3-Perf Period Cash Flow'!AE7,0))</f>
        <v>0</v>
      </c>
      <c r="F353" s="141">
        <f t="shared" ca="1" si="79"/>
        <v>0</v>
      </c>
      <c r="G353" s="141">
        <f t="shared" ca="1" si="80"/>
        <v>0</v>
      </c>
      <c r="H353" s="141">
        <f t="shared" ca="1" si="81"/>
        <v>0</v>
      </c>
      <c r="I353" s="288">
        <f t="shared" ca="1" si="82"/>
        <v>0</v>
      </c>
    </row>
    <row r="354" spans="1:9">
      <c r="A354" s="140">
        <f t="shared" si="75"/>
        <v>337</v>
      </c>
      <c r="B354" s="142">
        <f t="shared" si="76"/>
        <v>56523</v>
      </c>
      <c r="C354" s="141">
        <f t="shared" ca="1" si="78"/>
        <v>0</v>
      </c>
      <c r="D354" s="140"/>
      <c r="E354" s="141">
        <f>IF($D$10=1,IF(MONTH(B354)=MONTH($D$7),D353-'Sch3-Perf Period Cash Flow'!AF7,0),IF(MONTH(B354)=MONTH(EDATE($D$7,11)),MIN(D342,H353)-'Sch3-Perf Period Cash Flow'!AF7,0))</f>
        <v>0</v>
      </c>
      <c r="F354" s="141">
        <f t="shared" ca="1" si="79"/>
        <v>0</v>
      </c>
      <c r="G354" s="141">
        <f t="shared" ca="1" si="80"/>
        <v>0</v>
      </c>
      <c r="H354" s="141">
        <f t="shared" ca="1" si="81"/>
        <v>0</v>
      </c>
      <c r="I354" s="288">
        <f t="shared" ca="1" si="82"/>
        <v>0</v>
      </c>
    </row>
    <row r="355" spans="1:9">
      <c r="A355" s="140">
        <f t="shared" si="75"/>
        <v>338</v>
      </c>
      <c r="B355" s="142">
        <f t="shared" si="76"/>
        <v>56554</v>
      </c>
      <c r="C355" s="141">
        <f t="shared" ca="1" si="78"/>
        <v>0</v>
      </c>
      <c r="D355" s="140"/>
      <c r="E355" s="141">
        <f t="shared" si="77"/>
        <v>0</v>
      </c>
      <c r="F355" s="141">
        <f t="shared" ca="1" si="79"/>
        <v>0</v>
      </c>
      <c r="G355" s="141">
        <f t="shared" ca="1" si="80"/>
        <v>0</v>
      </c>
      <c r="H355" s="141">
        <f t="shared" ca="1" si="81"/>
        <v>0</v>
      </c>
      <c r="I355" s="288">
        <f t="shared" ca="1" si="82"/>
        <v>0</v>
      </c>
    </row>
    <row r="356" spans="1:9">
      <c r="A356" s="140">
        <f t="shared" si="75"/>
        <v>339</v>
      </c>
      <c r="B356" s="142">
        <f t="shared" si="76"/>
        <v>56584</v>
      </c>
      <c r="C356" s="141">
        <f t="shared" ca="1" si="78"/>
        <v>0</v>
      </c>
      <c r="D356" s="140"/>
      <c r="E356" s="141">
        <f t="shared" si="77"/>
        <v>0</v>
      </c>
      <c r="F356" s="141">
        <f t="shared" ca="1" si="79"/>
        <v>0</v>
      </c>
      <c r="G356" s="141">
        <f t="shared" ca="1" si="80"/>
        <v>0</v>
      </c>
      <c r="H356" s="141">
        <f t="shared" ca="1" si="81"/>
        <v>0</v>
      </c>
      <c r="I356" s="288">
        <f t="shared" ca="1" si="82"/>
        <v>0</v>
      </c>
    </row>
    <row r="357" spans="1:9">
      <c r="A357" s="140">
        <f t="shared" si="75"/>
        <v>340</v>
      </c>
      <c r="B357" s="142">
        <f t="shared" si="76"/>
        <v>56615</v>
      </c>
      <c r="C357" s="141">
        <f t="shared" ca="1" si="78"/>
        <v>0</v>
      </c>
      <c r="D357" s="140"/>
      <c r="E357" s="141">
        <f t="shared" si="77"/>
        <v>0</v>
      </c>
      <c r="F357" s="141">
        <f t="shared" ca="1" si="79"/>
        <v>0</v>
      </c>
      <c r="G357" s="141">
        <f t="shared" ca="1" si="80"/>
        <v>0</v>
      </c>
      <c r="H357" s="141">
        <f t="shared" ca="1" si="81"/>
        <v>0</v>
      </c>
      <c r="I357" s="288">
        <f t="shared" ca="1" si="82"/>
        <v>0</v>
      </c>
    </row>
    <row r="358" spans="1:9">
      <c r="A358" s="140">
        <f t="shared" si="75"/>
        <v>341</v>
      </c>
      <c r="B358" s="142">
        <f t="shared" si="76"/>
        <v>56646</v>
      </c>
      <c r="C358" s="141">
        <f t="shared" ca="1" si="78"/>
        <v>0</v>
      </c>
      <c r="D358" s="140"/>
      <c r="E358" s="141">
        <f t="shared" si="77"/>
        <v>0</v>
      </c>
      <c r="F358" s="141">
        <f t="shared" ca="1" si="79"/>
        <v>0</v>
      </c>
      <c r="G358" s="141">
        <f t="shared" ca="1" si="80"/>
        <v>0</v>
      </c>
      <c r="H358" s="141">
        <f t="shared" ca="1" si="81"/>
        <v>0</v>
      </c>
      <c r="I358" s="288">
        <f t="shared" ca="1" si="82"/>
        <v>0</v>
      </c>
    </row>
    <row r="359" spans="1:9">
      <c r="A359" s="140">
        <f t="shared" si="75"/>
        <v>342</v>
      </c>
      <c r="B359" s="142">
        <f t="shared" si="76"/>
        <v>56674</v>
      </c>
      <c r="C359" s="141">
        <f t="shared" ca="1" si="78"/>
        <v>0</v>
      </c>
      <c r="D359" s="140"/>
      <c r="E359" s="141">
        <f t="shared" si="77"/>
        <v>0</v>
      </c>
      <c r="F359" s="141">
        <f t="shared" ca="1" si="79"/>
        <v>0</v>
      </c>
      <c r="G359" s="141">
        <f t="shared" ca="1" si="80"/>
        <v>0</v>
      </c>
      <c r="H359" s="141">
        <f t="shared" ca="1" si="81"/>
        <v>0</v>
      </c>
      <c r="I359" s="288">
        <f t="shared" ca="1" si="82"/>
        <v>0</v>
      </c>
    </row>
    <row r="360" spans="1:9">
      <c r="A360" s="140">
        <f t="shared" si="75"/>
        <v>343</v>
      </c>
      <c r="B360" s="142">
        <f t="shared" si="76"/>
        <v>56705</v>
      </c>
      <c r="C360" s="141">
        <f t="shared" ca="1" si="78"/>
        <v>0</v>
      </c>
      <c r="D360" s="140"/>
      <c r="E360" s="141">
        <f t="shared" si="77"/>
        <v>0</v>
      </c>
      <c r="F360" s="141">
        <f t="shared" ca="1" si="79"/>
        <v>0</v>
      </c>
      <c r="G360" s="141">
        <f t="shared" ca="1" si="80"/>
        <v>0</v>
      </c>
      <c r="H360" s="141">
        <f t="shared" ca="1" si="81"/>
        <v>0</v>
      </c>
      <c r="I360" s="288">
        <f t="shared" ca="1" si="82"/>
        <v>0</v>
      </c>
    </row>
    <row r="361" spans="1:9">
      <c r="A361" s="140">
        <f t="shared" si="75"/>
        <v>344</v>
      </c>
      <c r="B361" s="142">
        <f t="shared" si="76"/>
        <v>56735</v>
      </c>
      <c r="C361" s="141">
        <f t="shared" ca="1" si="78"/>
        <v>0</v>
      </c>
      <c r="D361" s="140"/>
      <c r="E361" s="141">
        <f t="shared" si="77"/>
        <v>0</v>
      </c>
      <c r="F361" s="141">
        <f t="shared" ca="1" si="79"/>
        <v>0</v>
      </c>
      <c r="G361" s="141">
        <f t="shared" ca="1" si="80"/>
        <v>0</v>
      </c>
      <c r="H361" s="141">
        <f t="shared" ca="1" si="81"/>
        <v>0</v>
      </c>
      <c r="I361" s="288">
        <f t="shared" ca="1" si="82"/>
        <v>0</v>
      </c>
    </row>
    <row r="362" spans="1:9">
      <c r="A362" s="140">
        <f t="shared" si="75"/>
        <v>345</v>
      </c>
      <c r="B362" s="142">
        <f t="shared" si="76"/>
        <v>56766</v>
      </c>
      <c r="C362" s="141">
        <f t="shared" ca="1" si="78"/>
        <v>0</v>
      </c>
      <c r="D362" s="140"/>
      <c r="E362" s="141">
        <f t="shared" si="77"/>
        <v>0</v>
      </c>
      <c r="F362" s="141">
        <f t="shared" ca="1" si="79"/>
        <v>0</v>
      </c>
      <c r="G362" s="141">
        <f t="shared" ca="1" si="80"/>
        <v>0</v>
      </c>
      <c r="H362" s="141">
        <f t="shared" ca="1" si="81"/>
        <v>0</v>
      </c>
      <c r="I362" s="288">
        <f t="shared" ca="1" si="82"/>
        <v>0</v>
      </c>
    </row>
    <row r="363" spans="1:9">
      <c r="A363" s="140">
        <f t="shared" si="75"/>
        <v>346</v>
      </c>
      <c r="B363" s="142">
        <f t="shared" si="76"/>
        <v>56796</v>
      </c>
      <c r="C363" s="141">
        <f t="shared" ca="1" si="78"/>
        <v>0</v>
      </c>
      <c r="D363" s="140"/>
      <c r="E363" s="141">
        <f t="shared" si="77"/>
        <v>0</v>
      </c>
      <c r="F363" s="141">
        <f t="shared" ca="1" si="79"/>
        <v>0</v>
      </c>
      <c r="G363" s="141">
        <f t="shared" ca="1" si="80"/>
        <v>0</v>
      </c>
      <c r="H363" s="141">
        <f t="shared" ca="1" si="81"/>
        <v>0</v>
      </c>
      <c r="I363" s="288">
        <f t="shared" ca="1" si="82"/>
        <v>0</v>
      </c>
    </row>
    <row r="364" spans="1:9">
      <c r="A364" s="140">
        <f t="shared" si="75"/>
        <v>347</v>
      </c>
      <c r="B364" s="142">
        <f t="shared" si="76"/>
        <v>56827</v>
      </c>
      <c r="C364" s="141">
        <f t="shared" ca="1" si="78"/>
        <v>0</v>
      </c>
      <c r="D364" s="140"/>
      <c r="E364" s="141">
        <f>IF($D$10=1,IF(MONTH(B364)=MONTH($D$7),D363-'Sch3-Perf Period Cash Flow'!AB55,0),IF(MONTH(B364)=MONTH(EDATE($D$7,11)),IF(AND(H363&gt;D353,H363&lt;K89-L89), H363, MIN(D353,H363))-'Sch3-Perf Period Cash Flow'!AB55,0))</f>
        <v>0</v>
      </c>
      <c r="F364" s="141">
        <f t="shared" ca="1" si="79"/>
        <v>0</v>
      </c>
      <c r="G364" s="141">
        <f t="shared" ca="1" si="80"/>
        <v>0</v>
      </c>
      <c r="H364" s="141">
        <f t="shared" ca="1" si="81"/>
        <v>0</v>
      </c>
      <c r="I364" s="288">
        <f t="shared" ca="1" si="82"/>
        <v>0</v>
      </c>
    </row>
    <row r="365" spans="1:9">
      <c r="A365" s="140">
        <f t="shared" si="75"/>
        <v>348</v>
      </c>
      <c r="B365" s="142">
        <f t="shared" si="76"/>
        <v>56858</v>
      </c>
      <c r="C365" s="141">
        <f t="shared" ref="C365:C382" ca="1" si="83">IF(H364=0,0,H364)</f>
        <v>0</v>
      </c>
      <c r="D365" s="141">
        <f ca="1">IF(H365&lt;0,0,IF((H364+G365)&lt;(K46-L46),H364+G365,K46-L46))</f>
        <v>0</v>
      </c>
      <c r="E365" s="141">
        <f ca="1">IF($D$10=1,IF(MONTH(B365)=MONTH($D$7),D364-'Sch3-Perf Period Cash Flow'!AF7,0),IF(MONTH(B365)=MONTH(EDATE($D$7,11)),MIN(D353,H364)-'Sch3-Perf Period Cash Flow'!AF7,0))</f>
        <v>0</v>
      </c>
      <c r="F365" s="141">
        <f t="shared" ref="F365:F382" ca="1" si="84">IF(E365="","",E365-G365)</f>
        <v>0</v>
      </c>
      <c r="G365" s="141">
        <f t="shared" ref="G365:G382" ca="1" si="85">ROUND((C365-E365)*$D$5,3)</f>
        <v>0</v>
      </c>
      <c r="H365" s="141">
        <f t="shared" ref="H365:H382" ca="1" si="86">IF(E365="","",ROUND(H364-F365,4))</f>
        <v>0</v>
      </c>
      <c r="I365" s="288">
        <f t="shared" ref="I365:I382" ca="1" si="87">ROUND((D365-H365),0)</f>
        <v>0</v>
      </c>
    </row>
    <row r="366" spans="1:9">
      <c r="A366" s="140">
        <f t="shared" si="75"/>
        <v>349</v>
      </c>
      <c r="B366" s="142">
        <f t="shared" si="76"/>
        <v>56888</v>
      </c>
      <c r="C366" s="141">
        <f t="shared" ca="1" si="83"/>
        <v>0</v>
      </c>
      <c r="D366" s="140"/>
      <c r="E366" s="141">
        <f>IF($D$10=1,IF(MONTH(B366)=MONTH($D$7),D365-'Sch3-Perf Period Cash Flow'!AG7,0),IF(MONTH(B366)=MONTH(EDATE($D$7,11)),MIN(D354,H365)-'Sch3-Perf Period Cash Flow'!AG7,0))</f>
        <v>0</v>
      </c>
      <c r="F366" s="141">
        <f t="shared" ca="1" si="84"/>
        <v>0</v>
      </c>
      <c r="G366" s="141">
        <f t="shared" ca="1" si="85"/>
        <v>0</v>
      </c>
      <c r="H366" s="141">
        <f t="shared" ca="1" si="86"/>
        <v>0</v>
      </c>
      <c r="I366" s="288">
        <f t="shared" ca="1" si="87"/>
        <v>0</v>
      </c>
    </row>
    <row r="367" spans="1:9">
      <c r="A367" s="140">
        <f t="shared" si="75"/>
        <v>350</v>
      </c>
      <c r="B367" s="142">
        <f t="shared" si="76"/>
        <v>56919</v>
      </c>
      <c r="C367" s="141">
        <f t="shared" ca="1" si="83"/>
        <v>0</v>
      </c>
      <c r="D367" s="140"/>
      <c r="E367" s="141">
        <f t="shared" ref="E367:E387" si="88">IF($D$10=1,IF(MONTH(B367)=MONTH($D$7),D366,0),IF(MONTH(B367)=MONTH(EDATE($D$7,11)),MIN(D355,H366),0))</f>
        <v>0</v>
      </c>
      <c r="F367" s="141">
        <f t="shared" ca="1" si="84"/>
        <v>0</v>
      </c>
      <c r="G367" s="141">
        <f t="shared" ca="1" si="85"/>
        <v>0</v>
      </c>
      <c r="H367" s="141">
        <f t="shared" ca="1" si="86"/>
        <v>0</v>
      </c>
      <c r="I367" s="288">
        <f t="shared" ca="1" si="87"/>
        <v>0</v>
      </c>
    </row>
    <row r="368" spans="1:9">
      <c r="A368" s="140">
        <f t="shared" si="75"/>
        <v>351</v>
      </c>
      <c r="B368" s="142">
        <f t="shared" si="76"/>
        <v>56949</v>
      </c>
      <c r="C368" s="141">
        <f t="shared" ca="1" si="83"/>
        <v>0</v>
      </c>
      <c r="D368" s="140"/>
      <c r="E368" s="141">
        <f t="shared" si="88"/>
        <v>0</v>
      </c>
      <c r="F368" s="141">
        <f t="shared" ca="1" si="84"/>
        <v>0</v>
      </c>
      <c r="G368" s="141">
        <f t="shared" ca="1" si="85"/>
        <v>0</v>
      </c>
      <c r="H368" s="141">
        <f t="shared" ca="1" si="86"/>
        <v>0</v>
      </c>
      <c r="I368" s="288">
        <f t="shared" ca="1" si="87"/>
        <v>0</v>
      </c>
    </row>
    <row r="369" spans="1:9">
      <c r="A369" s="140">
        <f t="shared" si="75"/>
        <v>352</v>
      </c>
      <c r="B369" s="142">
        <f t="shared" si="76"/>
        <v>56980</v>
      </c>
      <c r="C369" s="141">
        <f t="shared" ca="1" si="83"/>
        <v>0</v>
      </c>
      <c r="D369" s="140"/>
      <c r="E369" s="141">
        <f t="shared" si="88"/>
        <v>0</v>
      </c>
      <c r="F369" s="141">
        <f t="shared" ca="1" si="84"/>
        <v>0</v>
      </c>
      <c r="G369" s="141">
        <f t="shared" ca="1" si="85"/>
        <v>0</v>
      </c>
      <c r="H369" s="141">
        <f t="shared" ca="1" si="86"/>
        <v>0</v>
      </c>
      <c r="I369" s="288">
        <f t="shared" ca="1" si="87"/>
        <v>0</v>
      </c>
    </row>
    <row r="370" spans="1:9">
      <c r="A370" s="140">
        <f t="shared" si="75"/>
        <v>353</v>
      </c>
      <c r="B370" s="142">
        <f t="shared" si="76"/>
        <v>57011</v>
      </c>
      <c r="C370" s="141">
        <f t="shared" ca="1" si="83"/>
        <v>0</v>
      </c>
      <c r="D370" s="140"/>
      <c r="E370" s="141">
        <f t="shared" si="88"/>
        <v>0</v>
      </c>
      <c r="F370" s="141">
        <f t="shared" ca="1" si="84"/>
        <v>0</v>
      </c>
      <c r="G370" s="141">
        <f t="shared" ca="1" si="85"/>
        <v>0</v>
      </c>
      <c r="H370" s="141">
        <f t="shared" ca="1" si="86"/>
        <v>0</v>
      </c>
      <c r="I370" s="288">
        <f t="shared" ca="1" si="87"/>
        <v>0</v>
      </c>
    </row>
    <row r="371" spans="1:9">
      <c r="A371" s="140">
        <f t="shared" si="75"/>
        <v>354</v>
      </c>
      <c r="B371" s="142">
        <f t="shared" si="76"/>
        <v>57040</v>
      </c>
      <c r="C371" s="141">
        <f t="shared" ca="1" si="83"/>
        <v>0</v>
      </c>
      <c r="D371" s="140"/>
      <c r="E371" s="141">
        <f t="shared" si="88"/>
        <v>0</v>
      </c>
      <c r="F371" s="141">
        <f t="shared" ca="1" si="84"/>
        <v>0</v>
      </c>
      <c r="G371" s="141">
        <f t="shared" ca="1" si="85"/>
        <v>0</v>
      </c>
      <c r="H371" s="141">
        <f t="shared" ca="1" si="86"/>
        <v>0</v>
      </c>
      <c r="I371" s="288">
        <f t="shared" ca="1" si="87"/>
        <v>0</v>
      </c>
    </row>
    <row r="372" spans="1:9">
      <c r="A372" s="140">
        <f t="shared" si="75"/>
        <v>355</v>
      </c>
      <c r="B372" s="142">
        <f t="shared" si="76"/>
        <v>57071</v>
      </c>
      <c r="C372" s="141">
        <f t="shared" ca="1" si="83"/>
        <v>0</v>
      </c>
      <c r="D372" s="140"/>
      <c r="E372" s="141">
        <f t="shared" si="88"/>
        <v>0</v>
      </c>
      <c r="F372" s="141">
        <f t="shared" ca="1" si="84"/>
        <v>0</v>
      </c>
      <c r="G372" s="141">
        <f t="shared" ca="1" si="85"/>
        <v>0</v>
      </c>
      <c r="H372" s="141">
        <f t="shared" ca="1" si="86"/>
        <v>0</v>
      </c>
      <c r="I372" s="288">
        <f t="shared" ca="1" si="87"/>
        <v>0</v>
      </c>
    </row>
    <row r="373" spans="1:9">
      <c r="A373" s="140">
        <f t="shared" si="75"/>
        <v>356</v>
      </c>
      <c r="B373" s="142">
        <f t="shared" si="76"/>
        <v>57101</v>
      </c>
      <c r="C373" s="141">
        <f t="shared" ca="1" si="83"/>
        <v>0</v>
      </c>
      <c r="D373" s="140"/>
      <c r="E373" s="141">
        <f t="shared" si="88"/>
        <v>0</v>
      </c>
      <c r="F373" s="141">
        <f t="shared" ca="1" si="84"/>
        <v>0</v>
      </c>
      <c r="G373" s="141">
        <f t="shared" ca="1" si="85"/>
        <v>0</v>
      </c>
      <c r="H373" s="141">
        <f t="shared" ca="1" si="86"/>
        <v>0</v>
      </c>
      <c r="I373" s="288">
        <f t="shared" ca="1" si="87"/>
        <v>0</v>
      </c>
    </row>
    <row r="374" spans="1:9">
      <c r="A374" s="140">
        <f t="shared" si="75"/>
        <v>357</v>
      </c>
      <c r="B374" s="142">
        <f t="shared" si="76"/>
        <v>57132</v>
      </c>
      <c r="C374" s="141">
        <f t="shared" ca="1" si="83"/>
        <v>0</v>
      </c>
      <c r="D374" s="140"/>
      <c r="E374" s="141">
        <f t="shared" si="88"/>
        <v>0</v>
      </c>
      <c r="F374" s="141">
        <f t="shared" ca="1" si="84"/>
        <v>0</v>
      </c>
      <c r="G374" s="141">
        <f t="shared" ca="1" si="85"/>
        <v>0</v>
      </c>
      <c r="H374" s="141">
        <f t="shared" ca="1" si="86"/>
        <v>0</v>
      </c>
      <c r="I374" s="288">
        <f t="shared" ca="1" si="87"/>
        <v>0</v>
      </c>
    </row>
    <row r="375" spans="1:9">
      <c r="A375" s="140">
        <f t="shared" si="75"/>
        <v>358</v>
      </c>
      <c r="B375" s="142">
        <f t="shared" si="76"/>
        <v>57162</v>
      </c>
      <c r="C375" s="141">
        <f t="shared" ca="1" si="83"/>
        <v>0</v>
      </c>
      <c r="D375" s="140"/>
      <c r="E375" s="141">
        <f t="shared" si="88"/>
        <v>0</v>
      </c>
      <c r="F375" s="141">
        <f t="shared" ca="1" si="84"/>
        <v>0</v>
      </c>
      <c r="G375" s="141">
        <f t="shared" ca="1" si="85"/>
        <v>0</v>
      </c>
      <c r="H375" s="141">
        <f t="shared" ca="1" si="86"/>
        <v>0</v>
      </c>
      <c r="I375" s="288">
        <f t="shared" ca="1" si="87"/>
        <v>0</v>
      </c>
    </row>
    <row r="376" spans="1:9">
      <c r="A376" s="140">
        <f t="shared" si="75"/>
        <v>359</v>
      </c>
      <c r="B376" s="142">
        <f t="shared" si="76"/>
        <v>57193</v>
      </c>
      <c r="C376" s="141">
        <f t="shared" ca="1" si="83"/>
        <v>0</v>
      </c>
      <c r="D376" s="140"/>
      <c r="E376" s="141">
        <f>IF($D$10=1,IF(MONTH(B376)=MONTH($D$7),D375-'Sch3-Perf Period Cash Flow'!AB67,0),IF(MONTH(B376)=MONTH(EDATE($D$7,11)),IF(AND(H375&gt;D365,H375&lt;K101-L101), H375, MIN(D365,H375))-'Sch3-Perf Period Cash Flow'!AB67,0))</f>
        <v>0</v>
      </c>
      <c r="F376" s="141">
        <f t="shared" ca="1" si="84"/>
        <v>0</v>
      </c>
      <c r="G376" s="141">
        <f t="shared" ca="1" si="85"/>
        <v>0</v>
      </c>
      <c r="H376" s="141">
        <f t="shared" ca="1" si="86"/>
        <v>0</v>
      </c>
      <c r="I376" s="288">
        <f t="shared" ca="1" si="87"/>
        <v>0</v>
      </c>
    </row>
    <row r="377" spans="1:9">
      <c r="A377" s="140">
        <f t="shared" si="75"/>
        <v>360</v>
      </c>
      <c r="B377" s="142">
        <f t="shared" si="76"/>
        <v>57224</v>
      </c>
      <c r="C377" s="141">
        <f t="shared" ca="1" si="83"/>
        <v>0</v>
      </c>
      <c r="D377" s="141">
        <f ca="1">IF(H377&lt;0,0,IF((H376+G377)&lt;(K47-L47),H376+G377,K47-L47))</f>
        <v>0</v>
      </c>
      <c r="E377" s="141">
        <f ca="1">IF($D$10=1,IF(MONTH(B377)=MONTH($D$7),D376-'Sch3-Perf Period Cash Flow'!AG7,0),IF(MONTH(B377)=MONTH(EDATE($D$7,11)),MIN(D365,H376)-'Sch3-Perf Period Cash Flow'!AG7,0))</f>
        <v>0</v>
      </c>
      <c r="F377" s="141">
        <f t="shared" ca="1" si="84"/>
        <v>0</v>
      </c>
      <c r="G377" s="141">
        <f t="shared" ca="1" si="85"/>
        <v>0</v>
      </c>
      <c r="H377" s="141">
        <f t="shared" ca="1" si="86"/>
        <v>0</v>
      </c>
      <c r="I377" s="288">
        <f t="shared" ca="1" si="87"/>
        <v>0</v>
      </c>
    </row>
    <row r="378" spans="1:9">
      <c r="A378" s="140">
        <f t="shared" si="75"/>
        <v>361</v>
      </c>
      <c r="B378" s="142">
        <f t="shared" si="76"/>
        <v>57254</v>
      </c>
      <c r="C378" s="141">
        <f t="shared" ca="1" si="83"/>
        <v>0</v>
      </c>
      <c r="D378" s="140"/>
      <c r="E378" s="141">
        <f>IF($D$10=1,IF(MONTH(B378)=MONTH($D$7),D377-'Sch3-Perf Period Cash Flow'!AH7,0),IF(MONTH(B378)=MONTH(EDATE($D$7,11)),MIN(D366,H377)-'Sch3-Perf Period Cash Flow'!AH7,0))</f>
        <v>0</v>
      </c>
      <c r="F378" s="141">
        <f t="shared" ca="1" si="84"/>
        <v>0</v>
      </c>
      <c r="G378" s="141">
        <f t="shared" ca="1" si="85"/>
        <v>0</v>
      </c>
      <c r="H378" s="141">
        <f t="shared" ca="1" si="86"/>
        <v>0</v>
      </c>
      <c r="I378" s="288">
        <f t="shared" ca="1" si="87"/>
        <v>0</v>
      </c>
    </row>
    <row r="379" spans="1:9">
      <c r="A379" s="140">
        <f t="shared" si="75"/>
        <v>362</v>
      </c>
      <c r="B379" s="142">
        <f t="shared" si="76"/>
        <v>57285</v>
      </c>
      <c r="C379" s="141">
        <f t="shared" ca="1" si="83"/>
        <v>0</v>
      </c>
      <c r="D379" s="140"/>
      <c r="E379" s="141">
        <f t="shared" si="88"/>
        <v>0</v>
      </c>
      <c r="F379" s="141">
        <f t="shared" ca="1" si="84"/>
        <v>0</v>
      </c>
      <c r="G379" s="141">
        <f t="shared" ca="1" si="85"/>
        <v>0</v>
      </c>
      <c r="H379" s="141">
        <f t="shared" ca="1" si="86"/>
        <v>0</v>
      </c>
      <c r="I379" s="288">
        <f t="shared" ca="1" si="87"/>
        <v>0</v>
      </c>
    </row>
    <row r="380" spans="1:9">
      <c r="A380" s="140">
        <f t="shared" si="75"/>
        <v>363</v>
      </c>
      <c r="B380" s="142">
        <f t="shared" si="76"/>
        <v>57315</v>
      </c>
      <c r="C380" s="141">
        <f t="shared" ca="1" si="83"/>
        <v>0</v>
      </c>
      <c r="D380" s="140"/>
      <c r="E380" s="141">
        <f t="shared" si="88"/>
        <v>0</v>
      </c>
      <c r="F380" s="141">
        <f t="shared" ca="1" si="84"/>
        <v>0</v>
      </c>
      <c r="G380" s="141">
        <f t="shared" ca="1" si="85"/>
        <v>0</v>
      </c>
      <c r="H380" s="141">
        <f t="shared" ca="1" si="86"/>
        <v>0</v>
      </c>
      <c r="I380" s="288">
        <f t="shared" ca="1" si="87"/>
        <v>0</v>
      </c>
    </row>
    <row r="381" spans="1:9">
      <c r="A381" s="140">
        <f t="shared" si="75"/>
        <v>364</v>
      </c>
      <c r="B381" s="142">
        <f t="shared" si="76"/>
        <v>57346</v>
      </c>
      <c r="C381" s="141">
        <f t="shared" ca="1" si="83"/>
        <v>0</v>
      </c>
      <c r="D381" s="140"/>
      <c r="E381" s="141">
        <f t="shared" si="88"/>
        <v>0</v>
      </c>
      <c r="F381" s="141">
        <f t="shared" ca="1" si="84"/>
        <v>0</v>
      </c>
      <c r="G381" s="141">
        <f t="shared" ca="1" si="85"/>
        <v>0</v>
      </c>
      <c r="H381" s="141">
        <f t="shared" ca="1" si="86"/>
        <v>0</v>
      </c>
      <c r="I381" s="288">
        <f t="shared" ca="1" si="87"/>
        <v>0</v>
      </c>
    </row>
    <row r="382" spans="1:9">
      <c r="A382" s="140">
        <f t="shared" si="75"/>
        <v>365</v>
      </c>
      <c r="B382" s="142">
        <f t="shared" si="76"/>
        <v>57377</v>
      </c>
      <c r="C382" s="141">
        <f t="shared" ca="1" si="83"/>
        <v>0</v>
      </c>
      <c r="D382" s="140"/>
      <c r="E382" s="141">
        <f t="shared" si="88"/>
        <v>0</v>
      </c>
      <c r="F382" s="141">
        <f t="shared" ca="1" si="84"/>
        <v>0</v>
      </c>
      <c r="G382" s="141">
        <f t="shared" ca="1" si="85"/>
        <v>0</v>
      </c>
      <c r="H382" s="141">
        <f t="shared" ca="1" si="86"/>
        <v>0</v>
      </c>
      <c r="I382" s="288">
        <f t="shared" ca="1" si="87"/>
        <v>0</v>
      </c>
    </row>
    <row r="383" spans="1:9">
      <c r="A383" s="140">
        <f t="shared" si="75"/>
        <v>366</v>
      </c>
      <c r="B383" s="142">
        <f t="shared" si="76"/>
        <v>57405</v>
      </c>
      <c r="C383" s="141">
        <f t="shared" ref="C383:C403" ca="1" si="89">IF(H382=0,0,H382)</f>
        <v>0</v>
      </c>
      <c r="D383" s="140"/>
      <c r="E383" s="141">
        <f t="shared" si="88"/>
        <v>0</v>
      </c>
      <c r="F383" s="141">
        <f t="shared" ref="F383:F403" ca="1" si="90">IF(E383="","",E383-G383)</f>
        <v>0</v>
      </c>
      <c r="G383" s="141">
        <f t="shared" ref="G383:G403" ca="1" si="91">ROUND((C383-E383)*$D$5,3)</f>
        <v>0</v>
      </c>
      <c r="H383" s="141">
        <f t="shared" ref="H383:H403" ca="1" si="92">IF(E383="","",ROUND(H382-F383,4))</f>
        <v>0</v>
      </c>
      <c r="I383" s="288">
        <f t="shared" ref="I383:I403" ca="1" si="93">ROUND((D383-H383),0)</f>
        <v>0</v>
      </c>
    </row>
    <row r="384" spans="1:9">
      <c r="A384" s="140">
        <f t="shared" si="75"/>
        <v>367</v>
      </c>
      <c r="B384" s="142">
        <f t="shared" si="76"/>
        <v>57436</v>
      </c>
      <c r="C384" s="141">
        <f t="shared" ca="1" si="89"/>
        <v>0</v>
      </c>
      <c r="D384" s="140"/>
      <c r="E384" s="141">
        <f t="shared" si="88"/>
        <v>0</v>
      </c>
      <c r="F384" s="141">
        <f t="shared" ca="1" si="90"/>
        <v>0</v>
      </c>
      <c r="G384" s="141">
        <f t="shared" ca="1" si="91"/>
        <v>0</v>
      </c>
      <c r="H384" s="141">
        <f t="shared" ca="1" si="92"/>
        <v>0</v>
      </c>
      <c r="I384" s="288">
        <f t="shared" ca="1" si="93"/>
        <v>0</v>
      </c>
    </row>
    <row r="385" spans="1:9">
      <c r="A385" s="140">
        <f t="shared" si="75"/>
        <v>368</v>
      </c>
      <c r="B385" s="142">
        <f t="shared" si="76"/>
        <v>57466</v>
      </c>
      <c r="C385" s="141">
        <f t="shared" ca="1" si="89"/>
        <v>0</v>
      </c>
      <c r="D385" s="140"/>
      <c r="E385" s="141">
        <f t="shared" si="88"/>
        <v>0</v>
      </c>
      <c r="F385" s="141">
        <f t="shared" ca="1" si="90"/>
        <v>0</v>
      </c>
      <c r="G385" s="141">
        <f t="shared" ca="1" si="91"/>
        <v>0</v>
      </c>
      <c r="H385" s="141">
        <f t="shared" ca="1" si="92"/>
        <v>0</v>
      </c>
      <c r="I385" s="288">
        <f t="shared" ca="1" si="93"/>
        <v>0</v>
      </c>
    </row>
    <row r="386" spans="1:9">
      <c r="A386" s="140">
        <f t="shared" si="75"/>
        <v>369</v>
      </c>
      <c r="B386" s="142">
        <f t="shared" si="76"/>
        <v>57497</v>
      </c>
      <c r="C386" s="141">
        <f t="shared" ca="1" si="89"/>
        <v>0</v>
      </c>
      <c r="D386" s="140"/>
      <c r="E386" s="141">
        <f t="shared" si="88"/>
        <v>0</v>
      </c>
      <c r="F386" s="141">
        <f t="shared" ca="1" si="90"/>
        <v>0</v>
      </c>
      <c r="G386" s="141">
        <f t="shared" ca="1" si="91"/>
        <v>0</v>
      </c>
      <c r="H386" s="141">
        <f t="shared" ca="1" si="92"/>
        <v>0</v>
      </c>
      <c r="I386" s="288">
        <f t="shared" ca="1" si="93"/>
        <v>0</v>
      </c>
    </row>
    <row r="387" spans="1:9">
      <c r="A387" s="140">
        <f t="shared" si="75"/>
        <v>370</v>
      </c>
      <c r="B387" s="142">
        <f t="shared" si="76"/>
        <v>57527</v>
      </c>
      <c r="C387" s="141">
        <f t="shared" ca="1" si="89"/>
        <v>0</v>
      </c>
      <c r="D387" s="140"/>
      <c r="E387" s="141">
        <f t="shared" si="88"/>
        <v>0</v>
      </c>
      <c r="F387" s="141">
        <f t="shared" ca="1" si="90"/>
        <v>0</v>
      </c>
      <c r="G387" s="141">
        <f t="shared" ca="1" si="91"/>
        <v>0</v>
      </c>
      <c r="H387" s="141">
        <f t="shared" ca="1" si="92"/>
        <v>0</v>
      </c>
      <c r="I387" s="288">
        <f t="shared" ca="1" si="93"/>
        <v>0</v>
      </c>
    </row>
    <row r="388" spans="1:9">
      <c r="A388" s="140">
        <f t="shared" si="75"/>
        <v>371</v>
      </c>
      <c r="B388" s="142">
        <f t="shared" si="76"/>
        <v>57558</v>
      </c>
      <c r="C388" s="141">
        <f t="shared" ca="1" si="89"/>
        <v>0</v>
      </c>
      <c r="D388" s="140"/>
      <c r="E388" s="141">
        <f>IF($D$10=1,IF(MONTH(B388)=MONTH($D$7),D387-'Sch3-Perf Period Cash Flow'!AB79,0),IF(MONTH(B388)=MONTH(EDATE($D$7,11)),IF(AND(H387&gt;D377,H387&lt;K113-L113), H387, MIN(D377,H387))-'Sch3-Perf Period Cash Flow'!AB79,0))</f>
        <v>0</v>
      </c>
      <c r="F388" s="141">
        <f t="shared" ca="1" si="90"/>
        <v>0</v>
      </c>
      <c r="G388" s="141">
        <f t="shared" ca="1" si="91"/>
        <v>0</v>
      </c>
      <c r="H388" s="141">
        <f t="shared" ca="1" si="92"/>
        <v>0</v>
      </c>
      <c r="I388" s="288">
        <f t="shared" ca="1" si="93"/>
        <v>0</v>
      </c>
    </row>
    <row r="389" spans="1:9">
      <c r="A389" s="140">
        <f t="shared" si="75"/>
        <v>372</v>
      </c>
      <c r="B389" s="142">
        <f t="shared" si="76"/>
        <v>57589</v>
      </c>
      <c r="C389" s="141">
        <f t="shared" ca="1" si="89"/>
        <v>0</v>
      </c>
      <c r="D389" s="141">
        <f ca="1">IF(H389&lt;0,0,IF((H388+G389)&lt;(K48-L48),H388+G389,K48-L48))</f>
        <v>0</v>
      </c>
      <c r="E389" s="141">
        <f ca="1">IF($D$10=1,IF(MONTH(B389)=MONTH($D$7),D388-'Sch3-Perf Period Cash Flow'!AH7,0),IF(MONTH(B389)=MONTH(EDATE($D$7,11)),MIN(D377,H388)-'Sch3-Perf Period Cash Flow'!AH7,0))</f>
        <v>0</v>
      </c>
      <c r="F389" s="141">
        <f t="shared" ca="1" si="90"/>
        <v>0</v>
      </c>
      <c r="G389" s="141">
        <f t="shared" ca="1" si="91"/>
        <v>0</v>
      </c>
      <c r="H389" s="141">
        <f t="shared" ca="1" si="92"/>
        <v>0</v>
      </c>
      <c r="I389" s="288">
        <f t="shared" ca="1" si="93"/>
        <v>0</v>
      </c>
    </row>
    <row r="390" spans="1:9">
      <c r="A390" s="140">
        <f t="shared" si="75"/>
        <v>373</v>
      </c>
      <c r="B390" s="142">
        <f t="shared" si="76"/>
        <v>57619</v>
      </c>
      <c r="C390" s="141">
        <f t="shared" ca="1" si="89"/>
        <v>0</v>
      </c>
      <c r="D390" s="140"/>
      <c r="E390" s="141">
        <f>IF($D$10=1,IF(MONTH(B390)=MONTH($D$7),D389-'Sch3-Perf Period Cash Flow'!AI7,0),IF(MONTH(B390)=MONTH(EDATE($D$7,11)),MIN(D378,H389)-'Sch3-Perf Period Cash Flow'!AI7,0))</f>
        <v>0</v>
      </c>
      <c r="F390" s="141">
        <f t="shared" ca="1" si="90"/>
        <v>0</v>
      </c>
      <c r="G390" s="141">
        <f t="shared" ca="1" si="91"/>
        <v>0</v>
      </c>
      <c r="H390" s="141">
        <f t="shared" ca="1" si="92"/>
        <v>0</v>
      </c>
      <c r="I390" s="288">
        <f t="shared" ca="1" si="93"/>
        <v>0</v>
      </c>
    </row>
    <row r="391" spans="1:9">
      <c r="A391" s="140">
        <f t="shared" si="75"/>
        <v>374</v>
      </c>
      <c r="B391" s="142">
        <f t="shared" si="76"/>
        <v>57650</v>
      </c>
      <c r="C391" s="141">
        <f t="shared" ca="1" si="89"/>
        <v>0</v>
      </c>
      <c r="D391" s="140"/>
      <c r="E391" s="141">
        <f t="shared" ref="E391:E411" si="94">IF($D$10=1,IF(MONTH(B391)=MONTH($D$7),D390,0),IF(MONTH(B391)=MONTH(EDATE($D$7,11)),MIN(D379,H390),0))</f>
        <v>0</v>
      </c>
      <c r="F391" s="141">
        <f t="shared" ca="1" si="90"/>
        <v>0</v>
      </c>
      <c r="G391" s="141">
        <f t="shared" ca="1" si="91"/>
        <v>0</v>
      </c>
      <c r="H391" s="141">
        <f t="shared" ca="1" si="92"/>
        <v>0</v>
      </c>
      <c r="I391" s="288">
        <f t="shared" ca="1" si="93"/>
        <v>0</v>
      </c>
    </row>
    <row r="392" spans="1:9">
      <c r="A392" s="140">
        <f t="shared" si="75"/>
        <v>375</v>
      </c>
      <c r="B392" s="142">
        <f t="shared" si="76"/>
        <v>57680</v>
      </c>
      <c r="C392" s="141">
        <f t="shared" ca="1" si="89"/>
        <v>0</v>
      </c>
      <c r="D392" s="140"/>
      <c r="E392" s="141">
        <f t="shared" si="94"/>
        <v>0</v>
      </c>
      <c r="F392" s="141">
        <f t="shared" ca="1" si="90"/>
        <v>0</v>
      </c>
      <c r="G392" s="141">
        <f t="shared" ca="1" si="91"/>
        <v>0</v>
      </c>
      <c r="H392" s="141">
        <f t="shared" ca="1" si="92"/>
        <v>0</v>
      </c>
      <c r="I392" s="288">
        <f t="shared" ca="1" si="93"/>
        <v>0</v>
      </c>
    </row>
    <row r="393" spans="1:9">
      <c r="A393" s="140">
        <f t="shared" si="75"/>
        <v>376</v>
      </c>
      <c r="B393" s="142">
        <f t="shared" si="76"/>
        <v>57711</v>
      </c>
      <c r="C393" s="141">
        <f t="shared" ca="1" si="89"/>
        <v>0</v>
      </c>
      <c r="D393" s="140"/>
      <c r="E393" s="141">
        <f t="shared" si="94"/>
        <v>0</v>
      </c>
      <c r="F393" s="141">
        <f t="shared" ca="1" si="90"/>
        <v>0</v>
      </c>
      <c r="G393" s="141">
        <f t="shared" ca="1" si="91"/>
        <v>0</v>
      </c>
      <c r="H393" s="141">
        <f t="shared" ca="1" si="92"/>
        <v>0</v>
      </c>
      <c r="I393" s="288">
        <f t="shared" ca="1" si="93"/>
        <v>0</v>
      </c>
    </row>
    <row r="394" spans="1:9">
      <c r="A394" s="140">
        <f t="shared" si="75"/>
        <v>377</v>
      </c>
      <c r="B394" s="142">
        <f t="shared" si="76"/>
        <v>57742</v>
      </c>
      <c r="C394" s="141">
        <f t="shared" ca="1" si="89"/>
        <v>0</v>
      </c>
      <c r="D394" s="140"/>
      <c r="E394" s="141">
        <f t="shared" si="94"/>
        <v>0</v>
      </c>
      <c r="F394" s="141">
        <f t="shared" ca="1" si="90"/>
        <v>0</v>
      </c>
      <c r="G394" s="141">
        <f t="shared" ca="1" si="91"/>
        <v>0</v>
      </c>
      <c r="H394" s="141">
        <f t="shared" ca="1" si="92"/>
        <v>0</v>
      </c>
      <c r="I394" s="288">
        <f t="shared" ca="1" si="93"/>
        <v>0</v>
      </c>
    </row>
    <row r="395" spans="1:9">
      <c r="A395" s="140">
        <f t="shared" si="75"/>
        <v>378</v>
      </c>
      <c r="B395" s="142">
        <f t="shared" si="76"/>
        <v>57770</v>
      </c>
      <c r="C395" s="141">
        <f t="shared" ca="1" si="89"/>
        <v>0</v>
      </c>
      <c r="D395" s="140"/>
      <c r="E395" s="141">
        <f t="shared" si="94"/>
        <v>0</v>
      </c>
      <c r="F395" s="141">
        <f t="shared" ca="1" si="90"/>
        <v>0</v>
      </c>
      <c r="G395" s="141">
        <f t="shared" ca="1" si="91"/>
        <v>0</v>
      </c>
      <c r="H395" s="141">
        <f t="shared" ca="1" si="92"/>
        <v>0</v>
      </c>
      <c r="I395" s="288">
        <f t="shared" ca="1" si="93"/>
        <v>0</v>
      </c>
    </row>
    <row r="396" spans="1:9">
      <c r="A396" s="140">
        <f t="shared" si="75"/>
        <v>379</v>
      </c>
      <c r="B396" s="142">
        <f t="shared" si="76"/>
        <v>57801</v>
      </c>
      <c r="C396" s="141">
        <f t="shared" ca="1" si="89"/>
        <v>0</v>
      </c>
      <c r="D396" s="140"/>
      <c r="E396" s="141">
        <f t="shared" si="94"/>
        <v>0</v>
      </c>
      <c r="F396" s="141">
        <f t="shared" ca="1" si="90"/>
        <v>0</v>
      </c>
      <c r="G396" s="141">
        <f t="shared" ca="1" si="91"/>
        <v>0</v>
      </c>
      <c r="H396" s="141">
        <f t="shared" ca="1" si="92"/>
        <v>0</v>
      </c>
      <c r="I396" s="288">
        <f t="shared" ca="1" si="93"/>
        <v>0</v>
      </c>
    </row>
    <row r="397" spans="1:9">
      <c r="A397" s="140">
        <f t="shared" si="75"/>
        <v>380</v>
      </c>
      <c r="B397" s="142">
        <f t="shared" si="76"/>
        <v>57831</v>
      </c>
      <c r="C397" s="141">
        <f t="shared" ca="1" si="89"/>
        <v>0</v>
      </c>
      <c r="D397" s="140"/>
      <c r="E397" s="141">
        <f t="shared" si="94"/>
        <v>0</v>
      </c>
      <c r="F397" s="141">
        <f t="shared" ca="1" si="90"/>
        <v>0</v>
      </c>
      <c r="G397" s="141">
        <f t="shared" ca="1" si="91"/>
        <v>0</v>
      </c>
      <c r="H397" s="141">
        <f t="shared" ca="1" si="92"/>
        <v>0</v>
      </c>
      <c r="I397" s="288">
        <f t="shared" ca="1" si="93"/>
        <v>0</v>
      </c>
    </row>
    <row r="398" spans="1:9">
      <c r="A398" s="140">
        <f t="shared" si="75"/>
        <v>381</v>
      </c>
      <c r="B398" s="142">
        <f t="shared" si="76"/>
        <v>57862</v>
      </c>
      <c r="C398" s="141">
        <f t="shared" ca="1" si="89"/>
        <v>0</v>
      </c>
      <c r="D398" s="140"/>
      <c r="E398" s="141">
        <f t="shared" si="94"/>
        <v>0</v>
      </c>
      <c r="F398" s="141">
        <f t="shared" ca="1" si="90"/>
        <v>0</v>
      </c>
      <c r="G398" s="141">
        <f t="shared" ca="1" si="91"/>
        <v>0</v>
      </c>
      <c r="H398" s="141">
        <f t="shared" ca="1" si="92"/>
        <v>0</v>
      </c>
      <c r="I398" s="288">
        <f t="shared" ca="1" si="93"/>
        <v>0</v>
      </c>
    </row>
    <row r="399" spans="1:9">
      <c r="A399" s="140">
        <f t="shared" si="75"/>
        <v>382</v>
      </c>
      <c r="B399" s="142">
        <f t="shared" si="76"/>
        <v>57892</v>
      </c>
      <c r="C399" s="141">
        <f t="shared" ca="1" si="89"/>
        <v>0</v>
      </c>
      <c r="D399" s="140"/>
      <c r="E399" s="141">
        <f t="shared" si="94"/>
        <v>0</v>
      </c>
      <c r="F399" s="141">
        <f t="shared" ca="1" si="90"/>
        <v>0</v>
      </c>
      <c r="G399" s="141">
        <f t="shared" ca="1" si="91"/>
        <v>0</v>
      </c>
      <c r="H399" s="141">
        <f t="shared" ca="1" si="92"/>
        <v>0</v>
      </c>
      <c r="I399" s="288">
        <f t="shared" ca="1" si="93"/>
        <v>0</v>
      </c>
    </row>
    <row r="400" spans="1:9">
      <c r="A400" s="140">
        <f t="shared" si="75"/>
        <v>383</v>
      </c>
      <c r="B400" s="142">
        <f t="shared" si="76"/>
        <v>57923</v>
      </c>
      <c r="C400" s="141">
        <f t="shared" ca="1" si="89"/>
        <v>0</v>
      </c>
      <c r="D400" s="140"/>
      <c r="E400" s="141">
        <f>IF($D$10=1,IF(MONTH(B400)=MONTH($D$7),D399-'Sch3-Perf Period Cash Flow'!AB91,0),IF(MONTH(B400)=MONTH(EDATE($D$7,11)),IF(AND(H399&gt;D389,H399&lt;K125-L125), H399, MIN(D389,H399))-'Sch3-Perf Period Cash Flow'!AB91,0))</f>
        <v>0</v>
      </c>
      <c r="F400" s="141">
        <f t="shared" ca="1" si="90"/>
        <v>0</v>
      </c>
      <c r="G400" s="141">
        <f t="shared" ca="1" si="91"/>
        <v>0</v>
      </c>
      <c r="H400" s="141">
        <f t="shared" ca="1" si="92"/>
        <v>0</v>
      </c>
      <c r="I400" s="288">
        <f t="shared" ca="1" si="93"/>
        <v>0</v>
      </c>
    </row>
    <row r="401" spans="1:9">
      <c r="A401" s="140">
        <f t="shared" si="75"/>
        <v>384</v>
      </c>
      <c r="B401" s="142">
        <f t="shared" si="76"/>
        <v>57954</v>
      </c>
      <c r="C401" s="141">
        <f t="shared" ca="1" si="89"/>
        <v>0</v>
      </c>
      <c r="D401" s="141">
        <f ca="1">IF(H401&lt;0,0,IF((H400+G401)&lt;(K49-L49),H400+G401,K49-L49))</f>
        <v>0</v>
      </c>
      <c r="E401" s="141">
        <f ca="1">IF($D$10=1,IF(MONTH(B401)=MONTH($D$7),D400-'Sch3-Perf Period Cash Flow'!AI7,0),IF(MONTH(B401)=MONTH(EDATE($D$7,11)),MIN(D389,H400)-'Sch3-Perf Period Cash Flow'!AI7,0))</f>
        <v>0</v>
      </c>
      <c r="F401" s="141">
        <f t="shared" ca="1" si="90"/>
        <v>0</v>
      </c>
      <c r="G401" s="141">
        <f t="shared" ca="1" si="91"/>
        <v>0</v>
      </c>
      <c r="H401" s="141">
        <f t="shared" ca="1" si="92"/>
        <v>0</v>
      </c>
      <c r="I401" s="288">
        <f t="shared" ca="1" si="93"/>
        <v>0</v>
      </c>
    </row>
    <row r="402" spans="1:9">
      <c r="A402" s="140">
        <f t="shared" si="75"/>
        <v>385</v>
      </c>
      <c r="B402" s="142">
        <f t="shared" si="76"/>
        <v>57984</v>
      </c>
      <c r="C402" s="141">
        <f t="shared" ca="1" si="89"/>
        <v>0</v>
      </c>
      <c r="D402" s="140"/>
      <c r="E402" s="141">
        <f>IF($D$10=1,IF(MONTH(B402)=MONTH($D$7),D401-'Sch3-Perf Period Cash Flow'!AJ7,0),IF(MONTH(B402)=MONTH(EDATE($D$7,11)),MIN(D390,H401)-'Sch3-Perf Period Cash Flow'!AJ7,0))</f>
        <v>0</v>
      </c>
      <c r="F402" s="141">
        <f t="shared" ca="1" si="90"/>
        <v>0</v>
      </c>
      <c r="G402" s="141">
        <f t="shared" ca="1" si="91"/>
        <v>0</v>
      </c>
      <c r="H402" s="141">
        <f t="shared" ca="1" si="92"/>
        <v>0</v>
      </c>
      <c r="I402" s="288">
        <f t="shared" ca="1" si="93"/>
        <v>0</v>
      </c>
    </row>
    <row r="403" spans="1:9">
      <c r="A403" s="140">
        <f t="shared" ref="A403:A466" si="95">IF(A402="","",IF(A402=$D$6,"",A402+1))</f>
        <v>386</v>
      </c>
      <c r="B403" s="142">
        <f t="shared" si="76"/>
        <v>58015</v>
      </c>
      <c r="C403" s="141">
        <f t="shared" ca="1" si="89"/>
        <v>0</v>
      </c>
      <c r="D403" s="140"/>
      <c r="E403" s="141">
        <f t="shared" si="94"/>
        <v>0</v>
      </c>
      <c r="F403" s="141">
        <f t="shared" ca="1" si="90"/>
        <v>0</v>
      </c>
      <c r="G403" s="141">
        <f t="shared" ca="1" si="91"/>
        <v>0</v>
      </c>
      <c r="H403" s="141">
        <f t="shared" ca="1" si="92"/>
        <v>0</v>
      </c>
      <c r="I403" s="288">
        <f t="shared" ca="1" si="93"/>
        <v>0</v>
      </c>
    </row>
    <row r="404" spans="1:9">
      <c r="A404" s="140">
        <f t="shared" si="95"/>
        <v>387</v>
      </c>
      <c r="B404" s="142">
        <f t="shared" si="76"/>
        <v>58045</v>
      </c>
      <c r="C404" s="141">
        <f t="shared" ref="C404:C423" ca="1" si="96">IF(H403=0,0,H403)</f>
        <v>0</v>
      </c>
      <c r="D404" s="140"/>
      <c r="E404" s="141">
        <f t="shared" si="94"/>
        <v>0</v>
      </c>
      <c r="F404" s="141">
        <f t="shared" ref="F404:F423" ca="1" si="97">IF(E404="","",E404-G404)</f>
        <v>0</v>
      </c>
      <c r="G404" s="141">
        <f t="shared" ref="G404:G423" ca="1" si="98">ROUND((C404-E404)*$D$5,3)</f>
        <v>0</v>
      </c>
      <c r="H404" s="141">
        <f t="shared" ref="H404:H423" ca="1" si="99">IF(E404="","",ROUND(H403-F404,4))</f>
        <v>0</v>
      </c>
      <c r="I404" s="288">
        <f t="shared" ref="I404:I423" ca="1" si="100">ROUND((D404-H404),0)</f>
        <v>0</v>
      </c>
    </row>
    <row r="405" spans="1:9">
      <c r="A405" s="140">
        <f t="shared" si="95"/>
        <v>388</v>
      </c>
      <c r="B405" s="142">
        <f t="shared" ref="B405:B468" si="101">DATE(YEAR(B404),MONTH(B404)+1,1)</f>
        <v>58076</v>
      </c>
      <c r="C405" s="141">
        <f t="shared" ca="1" si="96"/>
        <v>0</v>
      </c>
      <c r="D405" s="140"/>
      <c r="E405" s="141">
        <f t="shared" si="94"/>
        <v>0</v>
      </c>
      <c r="F405" s="141">
        <f t="shared" ca="1" si="97"/>
        <v>0</v>
      </c>
      <c r="G405" s="141">
        <f t="shared" ca="1" si="98"/>
        <v>0</v>
      </c>
      <c r="H405" s="141">
        <f t="shared" ca="1" si="99"/>
        <v>0</v>
      </c>
      <c r="I405" s="288">
        <f t="shared" ca="1" si="100"/>
        <v>0</v>
      </c>
    </row>
    <row r="406" spans="1:9">
      <c r="A406" s="140">
        <f t="shared" si="95"/>
        <v>389</v>
      </c>
      <c r="B406" s="142">
        <f t="shared" si="101"/>
        <v>58107</v>
      </c>
      <c r="C406" s="141">
        <f t="shared" ca="1" si="96"/>
        <v>0</v>
      </c>
      <c r="D406" s="140"/>
      <c r="E406" s="141">
        <f t="shared" si="94"/>
        <v>0</v>
      </c>
      <c r="F406" s="141">
        <f t="shared" ca="1" si="97"/>
        <v>0</v>
      </c>
      <c r="G406" s="141">
        <f t="shared" ca="1" si="98"/>
        <v>0</v>
      </c>
      <c r="H406" s="141">
        <f t="shared" ca="1" si="99"/>
        <v>0</v>
      </c>
      <c r="I406" s="288">
        <f t="shared" ca="1" si="100"/>
        <v>0</v>
      </c>
    </row>
    <row r="407" spans="1:9">
      <c r="A407" s="140">
        <f t="shared" si="95"/>
        <v>390</v>
      </c>
      <c r="B407" s="142">
        <f t="shared" si="101"/>
        <v>58135</v>
      </c>
      <c r="C407" s="141">
        <f t="shared" ca="1" si="96"/>
        <v>0</v>
      </c>
      <c r="D407" s="140"/>
      <c r="E407" s="141">
        <f t="shared" si="94"/>
        <v>0</v>
      </c>
      <c r="F407" s="141">
        <f t="shared" ca="1" si="97"/>
        <v>0</v>
      </c>
      <c r="G407" s="141">
        <f t="shared" ca="1" si="98"/>
        <v>0</v>
      </c>
      <c r="H407" s="141">
        <f t="shared" ca="1" si="99"/>
        <v>0</v>
      </c>
      <c r="I407" s="288">
        <f t="shared" ca="1" si="100"/>
        <v>0</v>
      </c>
    </row>
    <row r="408" spans="1:9">
      <c r="A408" s="140">
        <f t="shared" si="95"/>
        <v>391</v>
      </c>
      <c r="B408" s="142">
        <f t="shared" si="101"/>
        <v>58166</v>
      </c>
      <c r="C408" s="141">
        <f t="shared" ca="1" si="96"/>
        <v>0</v>
      </c>
      <c r="D408" s="140"/>
      <c r="E408" s="141">
        <f t="shared" si="94"/>
        <v>0</v>
      </c>
      <c r="F408" s="141">
        <f t="shared" ca="1" si="97"/>
        <v>0</v>
      </c>
      <c r="G408" s="141">
        <f t="shared" ca="1" si="98"/>
        <v>0</v>
      </c>
      <c r="H408" s="141">
        <f t="shared" ca="1" si="99"/>
        <v>0</v>
      </c>
      <c r="I408" s="288">
        <f t="shared" ca="1" si="100"/>
        <v>0</v>
      </c>
    </row>
    <row r="409" spans="1:9">
      <c r="A409" s="140">
        <f t="shared" si="95"/>
        <v>392</v>
      </c>
      <c r="B409" s="142">
        <f t="shared" si="101"/>
        <v>58196</v>
      </c>
      <c r="C409" s="141">
        <f t="shared" ca="1" si="96"/>
        <v>0</v>
      </c>
      <c r="D409" s="140"/>
      <c r="E409" s="141">
        <f t="shared" si="94"/>
        <v>0</v>
      </c>
      <c r="F409" s="141">
        <f t="shared" ca="1" si="97"/>
        <v>0</v>
      </c>
      <c r="G409" s="141">
        <f t="shared" ca="1" si="98"/>
        <v>0</v>
      </c>
      <c r="H409" s="141">
        <f t="shared" ca="1" si="99"/>
        <v>0</v>
      </c>
      <c r="I409" s="288">
        <f t="shared" ca="1" si="100"/>
        <v>0</v>
      </c>
    </row>
    <row r="410" spans="1:9">
      <c r="A410" s="140">
        <f t="shared" si="95"/>
        <v>393</v>
      </c>
      <c r="B410" s="142">
        <f t="shared" si="101"/>
        <v>58227</v>
      </c>
      <c r="C410" s="141">
        <f t="shared" ca="1" si="96"/>
        <v>0</v>
      </c>
      <c r="D410" s="140"/>
      <c r="E410" s="141">
        <f t="shared" si="94"/>
        <v>0</v>
      </c>
      <c r="F410" s="141">
        <f t="shared" ca="1" si="97"/>
        <v>0</v>
      </c>
      <c r="G410" s="141">
        <f t="shared" ca="1" si="98"/>
        <v>0</v>
      </c>
      <c r="H410" s="141">
        <f t="shared" ca="1" si="99"/>
        <v>0</v>
      </c>
      <c r="I410" s="288">
        <f t="shared" ca="1" si="100"/>
        <v>0</v>
      </c>
    </row>
    <row r="411" spans="1:9">
      <c r="A411" s="140">
        <f t="shared" si="95"/>
        <v>394</v>
      </c>
      <c r="B411" s="142">
        <f t="shared" si="101"/>
        <v>58257</v>
      </c>
      <c r="C411" s="141">
        <f t="shared" ca="1" si="96"/>
        <v>0</v>
      </c>
      <c r="D411" s="140"/>
      <c r="E411" s="141">
        <f t="shared" si="94"/>
        <v>0</v>
      </c>
      <c r="F411" s="141">
        <f t="shared" ca="1" si="97"/>
        <v>0</v>
      </c>
      <c r="G411" s="141">
        <f t="shared" ca="1" si="98"/>
        <v>0</v>
      </c>
      <c r="H411" s="141">
        <f t="shared" ca="1" si="99"/>
        <v>0</v>
      </c>
      <c r="I411" s="288">
        <f t="shared" ca="1" si="100"/>
        <v>0</v>
      </c>
    </row>
    <row r="412" spans="1:9">
      <c r="A412" s="140">
        <f t="shared" si="95"/>
        <v>395</v>
      </c>
      <c r="B412" s="142">
        <f t="shared" si="101"/>
        <v>58288</v>
      </c>
      <c r="C412" s="141">
        <f t="shared" ca="1" si="96"/>
        <v>0</v>
      </c>
      <c r="D412" s="140"/>
      <c r="E412" s="141">
        <f>IF($D$10=1,IF(MONTH(B412)=MONTH($D$7),D411-'Sch3-Perf Period Cash Flow'!AB103,0),IF(MONTH(B412)=MONTH(EDATE($D$7,11)),IF(AND(H411&gt;D401,H411&lt;K137-L137), H411, MIN(D401,H411))-'Sch3-Perf Period Cash Flow'!AB103,0))</f>
        <v>0</v>
      </c>
      <c r="F412" s="141">
        <f t="shared" ca="1" si="97"/>
        <v>0</v>
      </c>
      <c r="G412" s="141">
        <f t="shared" ca="1" si="98"/>
        <v>0</v>
      </c>
      <c r="H412" s="141">
        <f t="shared" ca="1" si="99"/>
        <v>0</v>
      </c>
      <c r="I412" s="288">
        <f t="shared" ca="1" si="100"/>
        <v>0</v>
      </c>
    </row>
    <row r="413" spans="1:9">
      <c r="A413" s="140">
        <f t="shared" si="95"/>
        <v>396</v>
      </c>
      <c r="B413" s="142">
        <f t="shared" si="101"/>
        <v>58319</v>
      </c>
      <c r="C413" s="141">
        <f t="shared" ca="1" si="96"/>
        <v>0</v>
      </c>
      <c r="D413" s="141">
        <f ca="1">IF(H413&lt;0,0,IF((H412+G413)&lt;(K50-L50),H412+G413,K50-L50))</f>
        <v>0</v>
      </c>
      <c r="E413" s="141">
        <f ca="1">IF($D$10=1,IF(MONTH(B413)=MONTH($D$7),D412-'Sch3-Perf Period Cash Flow'!AJ7,0),IF(MONTH(B413)=MONTH(EDATE($D$7,11)),MIN(D401,H412)-'Sch3-Perf Period Cash Flow'!AJ7,0))</f>
        <v>0</v>
      </c>
      <c r="F413" s="141">
        <f t="shared" ca="1" si="97"/>
        <v>0</v>
      </c>
      <c r="G413" s="141">
        <f t="shared" ca="1" si="98"/>
        <v>0</v>
      </c>
      <c r="H413" s="141">
        <f t="shared" ca="1" si="99"/>
        <v>0</v>
      </c>
      <c r="I413" s="288">
        <f t="shared" ca="1" si="100"/>
        <v>0</v>
      </c>
    </row>
    <row r="414" spans="1:9">
      <c r="A414" s="140">
        <f t="shared" si="95"/>
        <v>397</v>
      </c>
      <c r="B414" s="142">
        <f t="shared" si="101"/>
        <v>58349</v>
      </c>
      <c r="C414" s="141">
        <f t="shared" ca="1" si="96"/>
        <v>0</v>
      </c>
      <c r="D414" s="140"/>
      <c r="E414" s="141">
        <f>IF($D$10=1,IF(MONTH(B414)=MONTH($D$7),D413-'Sch3-Perf Period Cash Flow'!AK7,0),IF(MONTH(B414)=MONTH(EDATE($D$7,11)),MIN(D402,H413)-'Sch3-Perf Period Cash Flow'!AK7,0))</f>
        <v>0</v>
      </c>
      <c r="F414" s="141">
        <f t="shared" ca="1" si="97"/>
        <v>0</v>
      </c>
      <c r="G414" s="141">
        <f t="shared" ca="1" si="98"/>
        <v>0</v>
      </c>
      <c r="H414" s="141">
        <f t="shared" ca="1" si="99"/>
        <v>0</v>
      </c>
      <c r="I414" s="288">
        <f t="shared" ca="1" si="100"/>
        <v>0</v>
      </c>
    </row>
    <row r="415" spans="1:9">
      <c r="A415" s="140">
        <f t="shared" si="95"/>
        <v>398</v>
      </c>
      <c r="B415" s="142">
        <f t="shared" si="101"/>
        <v>58380</v>
      </c>
      <c r="C415" s="141">
        <f t="shared" ca="1" si="96"/>
        <v>0</v>
      </c>
      <c r="D415" s="140"/>
      <c r="E415" s="141">
        <f t="shared" ref="E415:E435" si="102">IF($D$10=1,IF(MONTH(B415)=MONTH($D$7),D414,0),IF(MONTH(B415)=MONTH(EDATE($D$7,11)),MIN(D403,H414),0))</f>
        <v>0</v>
      </c>
      <c r="F415" s="141">
        <f t="shared" ca="1" si="97"/>
        <v>0</v>
      </c>
      <c r="G415" s="141">
        <f t="shared" ca="1" si="98"/>
        <v>0</v>
      </c>
      <c r="H415" s="141">
        <f t="shared" ca="1" si="99"/>
        <v>0</v>
      </c>
      <c r="I415" s="288">
        <f t="shared" ca="1" si="100"/>
        <v>0</v>
      </c>
    </row>
    <row r="416" spans="1:9">
      <c r="A416" s="140">
        <f t="shared" si="95"/>
        <v>399</v>
      </c>
      <c r="B416" s="142">
        <f t="shared" si="101"/>
        <v>58410</v>
      </c>
      <c r="C416" s="141">
        <f t="shared" ca="1" si="96"/>
        <v>0</v>
      </c>
      <c r="D416" s="140"/>
      <c r="E416" s="141">
        <f t="shared" si="102"/>
        <v>0</v>
      </c>
      <c r="F416" s="141">
        <f t="shared" ca="1" si="97"/>
        <v>0</v>
      </c>
      <c r="G416" s="141">
        <f t="shared" ca="1" si="98"/>
        <v>0</v>
      </c>
      <c r="H416" s="141">
        <f t="shared" ca="1" si="99"/>
        <v>0</v>
      </c>
      <c r="I416" s="288">
        <f t="shared" ca="1" si="100"/>
        <v>0</v>
      </c>
    </row>
    <row r="417" spans="1:9">
      <c r="A417" s="140">
        <f t="shared" si="95"/>
        <v>400</v>
      </c>
      <c r="B417" s="142">
        <f t="shared" si="101"/>
        <v>58441</v>
      </c>
      <c r="C417" s="141">
        <f t="shared" ca="1" si="96"/>
        <v>0</v>
      </c>
      <c r="D417" s="140"/>
      <c r="E417" s="141">
        <f t="shared" si="102"/>
        <v>0</v>
      </c>
      <c r="F417" s="141">
        <f t="shared" ca="1" si="97"/>
        <v>0</v>
      </c>
      <c r="G417" s="141">
        <f t="shared" ca="1" si="98"/>
        <v>0</v>
      </c>
      <c r="H417" s="141">
        <f t="shared" ca="1" si="99"/>
        <v>0</v>
      </c>
      <c r="I417" s="288">
        <f t="shared" ca="1" si="100"/>
        <v>0</v>
      </c>
    </row>
    <row r="418" spans="1:9">
      <c r="A418" s="140">
        <f t="shared" si="95"/>
        <v>401</v>
      </c>
      <c r="B418" s="142">
        <f t="shared" si="101"/>
        <v>58472</v>
      </c>
      <c r="C418" s="141">
        <f t="shared" ca="1" si="96"/>
        <v>0</v>
      </c>
      <c r="D418" s="140"/>
      <c r="E418" s="141">
        <f t="shared" si="102"/>
        <v>0</v>
      </c>
      <c r="F418" s="141">
        <f t="shared" ca="1" si="97"/>
        <v>0</v>
      </c>
      <c r="G418" s="141">
        <f t="shared" ca="1" si="98"/>
        <v>0</v>
      </c>
      <c r="H418" s="141">
        <f t="shared" ca="1" si="99"/>
        <v>0</v>
      </c>
      <c r="I418" s="288">
        <f t="shared" ca="1" si="100"/>
        <v>0</v>
      </c>
    </row>
    <row r="419" spans="1:9">
      <c r="A419" s="140">
        <f t="shared" si="95"/>
        <v>402</v>
      </c>
      <c r="B419" s="142">
        <f t="shared" si="101"/>
        <v>58501</v>
      </c>
      <c r="C419" s="141">
        <f t="shared" ca="1" si="96"/>
        <v>0</v>
      </c>
      <c r="D419" s="140"/>
      <c r="E419" s="141">
        <f t="shared" si="102"/>
        <v>0</v>
      </c>
      <c r="F419" s="141">
        <f t="shared" ca="1" si="97"/>
        <v>0</v>
      </c>
      <c r="G419" s="141">
        <f t="shared" ca="1" si="98"/>
        <v>0</v>
      </c>
      <c r="H419" s="141">
        <f t="shared" ca="1" si="99"/>
        <v>0</v>
      </c>
      <c r="I419" s="288">
        <f t="shared" ca="1" si="100"/>
        <v>0</v>
      </c>
    </row>
    <row r="420" spans="1:9">
      <c r="A420" s="140">
        <f t="shared" si="95"/>
        <v>403</v>
      </c>
      <c r="B420" s="142">
        <f t="shared" si="101"/>
        <v>58532</v>
      </c>
      <c r="C420" s="141">
        <f t="shared" ca="1" si="96"/>
        <v>0</v>
      </c>
      <c r="D420" s="140"/>
      <c r="E420" s="141">
        <f t="shared" si="102"/>
        <v>0</v>
      </c>
      <c r="F420" s="141">
        <f t="shared" ca="1" si="97"/>
        <v>0</v>
      </c>
      <c r="G420" s="141">
        <f t="shared" ca="1" si="98"/>
        <v>0</v>
      </c>
      <c r="H420" s="141">
        <f t="shared" ca="1" si="99"/>
        <v>0</v>
      </c>
      <c r="I420" s="288">
        <f t="shared" ca="1" si="100"/>
        <v>0</v>
      </c>
    </row>
    <row r="421" spans="1:9">
      <c r="A421" s="140">
        <f t="shared" si="95"/>
        <v>404</v>
      </c>
      <c r="B421" s="142">
        <f t="shared" si="101"/>
        <v>58562</v>
      </c>
      <c r="C421" s="141">
        <f t="shared" ca="1" si="96"/>
        <v>0</v>
      </c>
      <c r="D421" s="140"/>
      <c r="E421" s="141">
        <f t="shared" si="102"/>
        <v>0</v>
      </c>
      <c r="F421" s="141">
        <f t="shared" ca="1" si="97"/>
        <v>0</v>
      </c>
      <c r="G421" s="141">
        <f t="shared" ca="1" si="98"/>
        <v>0</v>
      </c>
      <c r="H421" s="141">
        <f t="shared" ca="1" si="99"/>
        <v>0</v>
      </c>
      <c r="I421" s="288">
        <f t="shared" ca="1" si="100"/>
        <v>0</v>
      </c>
    </row>
    <row r="422" spans="1:9">
      <c r="A422" s="140">
        <f t="shared" si="95"/>
        <v>405</v>
      </c>
      <c r="B422" s="142">
        <f t="shared" si="101"/>
        <v>58593</v>
      </c>
      <c r="C422" s="141">
        <f t="shared" ca="1" si="96"/>
        <v>0</v>
      </c>
      <c r="D422" s="140"/>
      <c r="E422" s="141">
        <f t="shared" si="102"/>
        <v>0</v>
      </c>
      <c r="F422" s="141">
        <f t="shared" ca="1" si="97"/>
        <v>0</v>
      </c>
      <c r="G422" s="141">
        <f t="shared" ca="1" si="98"/>
        <v>0</v>
      </c>
      <c r="H422" s="141">
        <f t="shared" ca="1" si="99"/>
        <v>0</v>
      </c>
      <c r="I422" s="288">
        <f t="shared" ca="1" si="100"/>
        <v>0</v>
      </c>
    </row>
    <row r="423" spans="1:9">
      <c r="A423" s="140">
        <f t="shared" si="95"/>
        <v>406</v>
      </c>
      <c r="B423" s="142">
        <f t="shared" si="101"/>
        <v>58623</v>
      </c>
      <c r="C423" s="141">
        <f t="shared" ca="1" si="96"/>
        <v>0</v>
      </c>
      <c r="D423" s="140"/>
      <c r="E423" s="141">
        <f t="shared" si="102"/>
        <v>0</v>
      </c>
      <c r="F423" s="141">
        <f t="shared" ca="1" si="97"/>
        <v>0</v>
      </c>
      <c r="G423" s="141">
        <f t="shared" ca="1" si="98"/>
        <v>0</v>
      </c>
      <c r="H423" s="141">
        <f t="shared" ca="1" si="99"/>
        <v>0</v>
      </c>
      <c r="I423" s="288">
        <f t="shared" ca="1" si="100"/>
        <v>0</v>
      </c>
    </row>
    <row r="424" spans="1:9">
      <c r="A424" s="140">
        <f t="shared" si="95"/>
        <v>407</v>
      </c>
      <c r="B424" s="142">
        <f t="shared" si="101"/>
        <v>58654</v>
      </c>
      <c r="C424" s="141">
        <f t="shared" ref="C424:C447" ca="1" si="103">IF(H423=0,0,H423)</f>
        <v>0</v>
      </c>
      <c r="D424" s="140"/>
      <c r="E424" s="141">
        <f>IF($D$10=1,IF(MONTH(B424)=MONTH($D$7),D423-'Sch3-Perf Period Cash Flow'!AB115,0),IF(MONTH(B424)=MONTH(EDATE($D$7,11)),IF(AND(H423&gt;D413,H423&lt;K149-L149), H423, MIN(D413,H423))-'Sch3-Perf Period Cash Flow'!AB115,0))</f>
        <v>0</v>
      </c>
      <c r="F424" s="141">
        <f t="shared" ref="F424:F447" ca="1" si="104">IF(E424="","",E424-G424)</f>
        <v>0</v>
      </c>
      <c r="G424" s="141">
        <f t="shared" ref="G424:G447" ca="1" si="105">ROUND((C424-E424)*$D$5,3)</f>
        <v>0</v>
      </c>
      <c r="H424" s="141">
        <f t="shared" ref="H424:H447" ca="1" si="106">IF(E424="","",ROUND(H423-F424,4))</f>
        <v>0</v>
      </c>
      <c r="I424" s="288">
        <f t="shared" ref="I424:I447" ca="1" si="107">ROUND((D424-H424),0)</f>
        <v>0</v>
      </c>
    </row>
    <row r="425" spans="1:9">
      <c r="A425" s="140">
        <f t="shared" si="95"/>
        <v>408</v>
      </c>
      <c r="B425" s="142">
        <f t="shared" si="101"/>
        <v>58685</v>
      </c>
      <c r="C425" s="141">
        <f t="shared" ca="1" si="103"/>
        <v>0</v>
      </c>
      <c r="D425" s="141">
        <f ca="1">IF(H425&lt;0,0,IF((H424+G425)&lt;(K51-L51),H424+G425,K51-L51))</f>
        <v>0</v>
      </c>
      <c r="E425" s="141">
        <f ca="1">IF($D$10=1,IF(MONTH(B425)=MONTH($D$7),D424-'Sch3-Perf Period Cash Flow'!AK7,0),IF(MONTH(B425)=MONTH(EDATE($D$7,11)),MIN(D413,H424)-'Sch3-Perf Period Cash Flow'!AK7,0))</f>
        <v>0</v>
      </c>
      <c r="F425" s="141">
        <f t="shared" ca="1" si="104"/>
        <v>0</v>
      </c>
      <c r="G425" s="141">
        <f t="shared" ca="1" si="105"/>
        <v>0</v>
      </c>
      <c r="H425" s="141">
        <f t="shared" ca="1" si="106"/>
        <v>0</v>
      </c>
      <c r="I425" s="288">
        <f t="shared" ca="1" si="107"/>
        <v>0</v>
      </c>
    </row>
    <row r="426" spans="1:9">
      <c r="A426" s="140">
        <f t="shared" si="95"/>
        <v>409</v>
      </c>
      <c r="B426" s="142">
        <f t="shared" si="101"/>
        <v>58715</v>
      </c>
      <c r="C426" s="141">
        <f t="shared" ca="1" si="103"/>
        <v>0</v>
      </c>
      <c r="D426" s="140"/>
      <c r="E426" s="141">
        <f>IF($D$10=1,IF(MONTH(B426)=MONTH($D$7),D425-'Sch3-Perf Period Cash Flow'!AL7,0),IF(MONTH(B426)=MONTH(EDATE($D$7,11)),MIN(D414,H425)-'Sch3-Perf Period Cash Flow'!AL7,0))</f>
        <v>0</v>
      </c>
      <c r="F426" s="141">
        <f t="shared" ca="1" si="104"/>
        <v>0</v>
      </c>
      <c r="G426" s="141">
        <f t="shared" ca="1" si="105"/>
        <v>0</v>
      </c>
      <c r="H426" s="141">
        <f t="shared" ca="1" si="106"/>
        <v>0</v>
      </c>
      <c r="I426" s="288">
        <f t="shared" ca="1" si="107"/>
        <v>0</v>
      </c>
    </row>
    <row r="427" spans="1:9">
      <c r="A427" s="140">
        <f t="shared" si="95"/>
        <v>410</v>
      </c>
      <c r="B427" s="142">
        <f t="shared" si="101"/>
        <v>58746</v>
      </c>
      <c r="C427" s="141">
        <f t="shared" ca="1" si="103"/>
        <v>0</v>
      </c>
      <c r="D427" s="140"/>
      <c r="E427" s="141">
        <f t="shared" si="102"/>
        <v>0</v>
      </c>
      <c r="F427" s="141">
        <f t="shared" ca="1" si="104"/>
        <v>0</v>
      </c>
      <c r="G427" s="141">
        <f t="shared" ca="1" si="105"/>
        <v>0</v>
      </c>
      <c r="H427" s="141">
        <f t="shared" ca="1" si="106"/>
        <v>0</v>
      </c>
      <c r="I427" s="288">
        <f t="shared" ca="1" si="107"/>
        <v>0</v>
      </c>
    </row>
    <row r="428" spans="1:9">
      <c r="A428" s="140">
        <f t="shared" si="95"/>
        <v>411</v>
      </c>
      <c r="B428" s="142">
        <f t="shared" si="101"/>
        <v>58776</v>
      </c>
      <c r="C428" s="141">
        <f t="shared" ca="1" si="103"/>
        <v>0</v>
      </c>
      <c r="D428" s="140"/>
      <c r="E428" s="141">
        <f t="shared" si="102"/>
        <v>0</v>
      </c>
      <c r="F428" s="141">
        <f t="shared" ca="1" si="104"/>
        <v>0</v>
      </c>
      <c r="G428" s="141">
        <f t="shared" ca="1" si="105"/>
        <v>0</v>
      </c>
      <c r="H428" s="141">
        <f t="shared" ca="1" si="106"/>
        <v>0</v>
      </c>
      <c r="I428" s="288">
        <f t="shared" ca="1" si="107"/>
        <v>0</v>
      </c>
    </row>
    <row r="429" spans="1:9">
      <c r="A429" s="140">
        <f t="shared" si="95"/>
        <v>412</v>
      </c>
      <c r="B429" s="142">
        <f t="shared" si="101"/>
        <v>58807</v>
      </c>
      <c r="C429" s="141">
        <f t="shared" ca="1" si="103"/>
        <v>0</v>
      </c>
      <c r="D429" s="140"/>
      <c r="E429" s="141">
        <f t="shared" si="102"/>
        <v>0</v>
      </c>
      <c r="F429" s="141">
        <f t="shared" ca="1" si="104"/>
        <v>0</v>
      </c>
      <c r="G429" s="141">
        <f t="shared" ca="1" si="105"/>
        <v>0</v>
      </c>
      <c r="H429" s="141">
        <f t="shared" ca="1" si="106"/>
        <v>0</v>
      </c>
      <c r="I429" s="288">
        <f t="shared" ca="1" si="107"/>
        <v>0</v>
      </c>
    </row>
    <row r="430" spans="1:9">
      <c r="A430" s="140">
        <f t="shared" si="95"/>
        <v>413</v>
      </c>
      <c r="B430" s="142">
        <f t="shared" si="101"/>
        <v>58838</v>
      </c>
      <c r="C430" s="141">
        <f t="shared" ca="1" si="103"/>
        <v>0</v>
      </c>
      <c r="D430" s="140"/>
      <c r="E430" s="141">
        <f t="shared" si="102"/>
        <v>0</v>
      </c>
      <c r="F430" s="141">
        <f t="shared" ca="1" si="104"/>
        <v>0</v>
      </c>
      <c r="G430" s="141">
        <f t="shared" ca="1" si="105"/>
        <v>0</v>
      </c>
      <c r="H430" s="141">
        <f t="shared" ca="1" si="106"/>
        <v>0</v>
      </c>
      <c r="I430" s="288">
        <f t="shared" ca="1" si="107"/>
        <v>0</v>
      </c>
    </row>
    <row r="431" spans="1:9">
      <c r="A431" s="140">
        <f t="shared" si="95"/>
        <v>414</v>
      </c>
      <c r="B431" s="142">
        <f t="shared" si="101"/>
        <v>58866</v>
      </c>
      <c r="C431" s="141">
        <f t="shared" ca="1" si="103"/>
        <v>0</v>
      </c>
      <c r="D431" s="140"/>
      <c r="E431" s="141">
        <f t="shared" si="102"/>
        <v>0</v>
      </c>
      <c r="F431" s="141">
        <f t="shared" ca="1" si="104"/>
        <v>0</v>
      </c>
      <c r="G431" s="141">
        <f t="shared" ca="1" si="105"/>
        <v>0</v>
      </c>
      <c r="H431" s="141">
        <f t="shared" ca="1" si="106"/>
        <v>0</v>
      </c>
      <c r="I431" s="288">
        <f t="shared" ca="1" si="107"/>
        <v>0</v>
      </c>
    </row>
    <row r="432" spans="1:9">
      <c r="A432" s="140">
        <f t="shared" si="95"/>
        <v>415</v>
      </c>
      <c r="B432" s="142">
        <f t="shared" si="101"/>
        <v>58897</v>
      </c>
      <c r="C432" s="141">
        <f t="shared" ca="1" si="103"/>
        <v>0</v>
      </c>
      <c r="D432" s="140"/>
      <c r="E432" s="141">
        <f t="shared" si="102"/>
        <v>0</v>
      </c>
      <c r="F432" s="141">
        <f t="shared" ca="1" si="104"/>
        <v>0</v>
      </c>
      <c r="G432" s="141">
        <f t="shared" ca="1" si="105"/>
        <v>0</v>
      </c>
      <c r="H432" s="141">
        <f t="shared" ca="1" si="106"/>
        <v>0</v>
      </c>
      <c r="I432" s="288">
        <f t="shared" ca="1" si="107"/>
        <v>0</v>
      </c>
    </row>
    <row r="433" spans="1:9">
      <c r="A433" s="140">
        <f t="shared" si="95"/>
        <v>416</v>
      </c>
      <c r="B433" s="142">
        <f t="shared" si="101"/>
        <v>58927</v>
      </c>
      <c r="C433" s="141">
        <f t="shared" ca="1" si="103"/>
        <v>0</v>
      </c>
      <c r="D433" s="140"/>
      <c r="E433" s="141">
        <f t="shared" si="102"/>
        <v>0</v>
      </c>
      <c r="F433" s="141">
        <f t="shared" ca="1" si="104"/>
        <v>0</v>
      </c>
      <c r="G433" s="141">
        <f t="shared" ca="1" si="105"/>
        <v>0</v>
      </c>
      <c r="H433" s="141">
        <f t="shared" ca="1" si="106"/>
        <v>0</v>
      </c>
      <c r="I433" s="288">
        <f t="shared" ca="1" si="107"/>
        <v>0</v>
      </c>
    </row>
    <row r="434" spans="1:9">
      <c r="A434" s="140">
        <f t="shared" si="95"/>
        <v>417</v>
      </c>
      <c r="B434" s="142">
        <f t="shared" si="101"/>
        <v>58958</v>
      </c>
      <c r="C434" s="141">
        <f t="shared" ca="1" si="103"/>
        <v>0</v>
      </c>
      <c r="D434" s="140"/>
      <c r="E434" s="141">
        <f t="shared" si="102"/>
        <v>0</v>
      </c>
      <c r="F434" s="141">
        <f t="shared" ca="1" si="104"/>
        <v>0</v>
      </c>
      <c r="G434" s="141">
        <f t="shared" ca="1" si="105"/>
        <v>0</v>
      </c>
      <c r="H434" s="141">
        <f t="shared" ca="1" si="106"/>
        <v>0</v>
      </c>
      <c r="I434" s="288">
        <f t="shared" ca="1" si="107"/>
        <v>0</v>
      </c>
    </row>
    <row r="435" spans="1:9">
      <c r="A435" s="140">
        <f t="shared" si="95"/>
        <v>418</v>
      </c>
      <c r="B435" s="142">
        <f t="shared" si="101"/>
        <v>58988</v>
      </c>
      <c r="C435" s="141">
        <f t="shared" ca="1" si="103"/>
        <v>0</v>
      </c>
      <c r="D435" s="140"/>
      <c r="E435" s="141">
        <f t="shared" si="102"/>
        <v>0</v>
      </c>
      <c r="F435" s="141">
        <f t="shared" ca="1" si="104"/>
        <v>0</v>
      </c>
      <c r="G435" s="141">
        <f t="shared" ca="1" si="105"/>
        <v>0</v>
      </c>
      <c r="H435" s="141">
        <f t="shared" ca="1" si="106"/>
        <v>0</v>
      </c>
      <c r="I435" s="288">
        <f t="shared" ca="1" si="107"/>
        <v>0</v>
      </c>
    </row>
    <row r="436" spans="1:9">
      <c r="A436" s="140">
        <f t="shared" si="95"/>
        <v>419</v>
      </c>
      <c r="B436" s="142">
        <f t="shared" si="101"/>
        <v>59019</v>
      </c>
      <c r="C436" s="141">
        <f t="shared" ca="1" si="103"/>
        <v>0</v>
      </c>
      <c r="D436" s="140"/>
      <c r="E436" s="141">
        <f>IF($D$10=1,IF(MONTH(B436)=MONTH($D$7),D435-'Sch3-Perf Period Cash Flow'!AB127,0),IF(MONTH(B436)=MONTH(EDATE($D$7,11)),IF(AND(H435&gt;D425,H435&lt;K161-L161), H435, MIN(D425,H435))-'Sch3-Perf Period Cash Flow'!AB127,0))</f>
        <v>0</v>
      </c>
      <c r="F436" s="141">
        <f t="shared" ca="1" si="104"/>
        <v>0</v>
      </c>
      <c r="G436" s="141">
        <f t="shared" ca="1" si="105"/>
        <v>0</v>
      </c>
      <c r="H436" s="141">
        <f t="shared" ca="1" si="106"/>
        <v>0</v>
      </c>
      <c r="I436" s="288">
        <f t="shared" ca="1" si="107"/>
        <v>0</v>
      </c>
    </row>
    <row r="437" spans="1:9">
      <c r="A437" s="140">
        <f t="shared" si="95"/>
        <v>420</v>
      </c>
      <c r="B437" s="142">
        <f t="shared" si="101"/>
        <v>59050</v>
      </c>
      <c r="C437" s="141">
        <f t="shared" ca="1" si="103"/>
        <v>0</v>
      </c>
      <c r="D437" s="141">
        <f ca="1">IF(H437&lt;0,0,IF((H436+G437)&lt;(K52-L52),H436+G437,K52-L52))</f>
        <v>0</v>
      </c>
      <c r="E437" s="141">
        <f ca="1">IF($D$10=1,IF(MONTH(B437)=MONTH($D$7),D436-'Sch3-Perf Period Cash Flow'!AL7,0),IF(MONTH(B437)=MONTH(EDATE($D$7,11)),MIN(D425,H436)-'Sch3-Perf Period Cash Flow'!AL7,0))</f>
        <v>0</v>
      </c>
      <c r="F437" s="141">
        <f t="shared" ca="1" si="104"/>
        <v>0</v>
      </c>
      <c r="G437" s="141">
        <f t="shared" ca="1" si="105"/>
        <v>0</v>
      </c>
      <c r="H437" s="141">
        <f t="shared" ca="1" si="106"/>
        <v>0</v>
      </c>
      <c r="I437" s="288">
        <f t="shared" ca="1" si="107"/>
        <v>0</v>
      </c>
    </row>
    <row r="438" spans="1:9">
      <c r="A438" s="140">
        <f t="shared" si="95"/>
        <v>421</v>
      </c>
      <c r="B438" s="142">
        <f t="shared" si="101"/>
        <v>59080</v>
      </c>
      <c r="C438" s="141">
        <f t="shared" ca="1" si="103"/>
        <v>0</v>
      </c>
      <c r="D438" s="140"/>
      <c r="E438" s="141">
        <f>IF($D$10=1,IF(MONTH(B438)=MONTH($D$7),D437-'Sch3-Perf Period Cash Flow'!AM7,0),IF(MONTH(B438)=MONTH(EDATE($D$7,11)),MIN(D426,H437)-'Sch3-Perf Period Cash Flow'!AM7,0))</f>
        <v>0</v>
      </c>
      <c r="F438" s="141">
        <f t="shared" ca="1" si="104"/>
        <v>0</v>
      </c>
      <c r="G438" s="141">
        <f t="shared" ca="1" si="105"/>
        <v>0</v>
      </c>
      <c r="H438" s="141">
        <f t="shared" ca="1" si="106"/>
        <v>0</v>
      </c>
      <c r="I438" s="288">
        <f t="shared" ca="1" si="107"/>
        <v>0</v>
      </c>
    </row>
    <row r="439" spans="1:9">
      <c r="A439" s="140">
        <f t="shared" si="95"/>
        <v>422</v>
      </c>
      <c r="B439" s="142">
        <f t="shared" si="101"/>
        <v>59111</v>
      </c>
      <c r="C439" s="141">
        <f t="shared" ca="1" si="103"/>
        <v>0</v>
      </c>
      <c r="D439" s="140"/>
      <c r="E439" s="141">
        <f t="shared" ref="E439:E459" si="108">IF($D$10=1,IF(MONTH(B439)=MONTH($D$7),D438,0),IF(MONTH(B439)=MONTH(EDATE($D$7,11)),MIN(D427,H438),0))</f>
        <v>0</v>
      </c>
      <c r="F439" s="141">
        <f t="shared" ca="1" si="104"/>
        <v>0</v>
      </c>
      <c r="G439" s="141">
        <f t="shared" ca="1" si="105"/>
        <v>0</v>
      </c>
      <c r="H439" s="141">
        <f t="shared" ca="1" si="106"/>
        <v>0</v>
      </c>
      <c r="I439" s="288">
        <f t="shared" ca="1" si="107"/>
        <v>0</v>
      </c>
    </row>
    <row r="440" spans="1:9">
      <c r="A440" s="140">
        <f t="shared" si="95"/>
        <v>423</v>
      </c>
      <c r="B440" s="142">
        <f t="shared" si="101"/>
        <v>59141</v>
      </c>
      <c r="C440" s="141">
        <f t="shared" ca="1" si="103"/>
        <v>0</v>
      </c>
      <c r="D440" s="140"/>
      <c r="E440" s="141">
        <f t="shared" si="108"/>
        <v>0</v>
      </c>
      <c r="F440" s="141">
        <f t="shared" ca="1" si="104"/>
        <v>0</v>
      </c>
      <c r="G440" s="141">
        <f t="shared" ca="1" si="105"/>
        <v>0</v>
      </c>
      <c r="H440" s="141">
        <f t="shared" ca="1" si="106"/>
        <v>0</v>
      </c>
      <c r="I440" s="288">
        <f t="shared" ca="1" si="107"/>
        <v>0</v>
      </c>
    </row>
    <row r="441" spans="1:9">
      <c r="A441" s="140">
        <f t="shared" si="95"/>
        <v>424</v>
      </c>
      <c r="B441" s="142">
        <f t="shared" si="101"/>
        <v>59172</v>
      </c>
      <c r="C441" s="141">
        <f t="shared" ca="1" si="103"/>
        <v>0</v>
      </c>
      <c r="D441" s="140"/>
      <c r="E441" s="141">
        <f t="shared" si="108"/>
        <v>0</v>
      </c>
      <c r="F441" s="141">
        <f t="shared" ca="1" si="104"/>
        <v>0</v>
      </c>
      <c r="G441" s="141">
        <f t="shared" ca="1" si="105"/>
        <v>0</v>
      </c>
      <c r="H441" s="141">
        <f t="shared" ca="1" si="106"/>
        <v>0</v>
      </c>
      <c r="I441" s="288">
        <f t="shared" ca="1" si="107"/>
        <v>0</v>
      </c>
    </row>
    <row r="442" spans="1:9">
      <c r="A442" s="140">
        <f t="shared" si="95"/>
        <v>425</v>
      </c>
      <c r="B442" s="142">
        <f t="shared" si="101"/>
        <v>59203</v>
      </c>
      <c r="C442" s="141">
        <f t="shared" ca="1" si="103"/>
        <v>0</v>
      </c>
      <c r="D442" s="140"/>
      <c r="E442" s="141">
        <f t="shared" si="108"/>
        <v>0</v>
      </c>
      <c r="F442" s="141">
        <f t="shared" ca="1" si="104"/>
        <v>0</v>
      </c>
      <c r="G442" s="141">
        <f t="shared" ca="1" si="105"/>
        <v>0</v>
      </c>
      <c r="H442" s="141">
        <f t="shared" ca="1" si="106"/>
        <v>0</v>
      </c>
      <c r="I442" s="288">
        <f t="shared" ca="1" si="107"/>
        <v>0</v>
      </c>
    </row>
    <row r="443" spans="1:9">
      <c r="A443" s="140">
        <f t="shared" si="95"/>
        <v>426</v>
      </c>
      <c r="B443" s="142">
        <f t="shared" si="101"/>
        <v>59231</v>
      </c>
      <c r="C443" s="141">
        <f t="shared" ca="1" si="103"/>
        <v>0</v>
      </c>
      <c r="D443" s="140"/>
      <c r="E443" s="141">
        <f t="shared" si="108"/>
        <v>0</v>
      </c>
      <c r="F443" s="141">
        <f t="shared" ca="1" si="104"/>
        <v>0</v>
      </c>
      <c r="G443" s="141">
        <f t="shared" ca="1" si="105"/>
        <v>0</v>
      </c>
      <c r="H443" s="141">
        <f t="shared" ca="1" si="106"/>
        <v>0</v>
      </c>
      <c r="I443" s="288">
        <f t="shared" ca="1" si="107"/>
        <v>0</v>
      </c>
    </row>
    <row r="444" spans="1:9">
      <c r="A444" s="140">
        <f t="shared" si="95"/>
        <v>427</v>
      </c>
      <c r="B444" s="142">
        <f t="shared" si="101"/>
        <v>59262</v>
      </c>
      <c r="C444" s="141">
        <f t="shared" ca="1" si="103"/>
        <v>0</v>
      </c>
      <c r="D444" s="140"/>
      <c r="E444" s="141">
        <f t="shared" si="108"/>
        <v>0</v>
      </c>
      <c r="F444" s="141">
        <f t="shared" ca="1" si="104"/>
        <v>0</v>
      </c>
      <c r="G444" s="141">
        <f t="shared" ca="1" si="105"/>
        <v>0</v>
      </c>
      <c r="H444" s="141">
        <f t="shared" ca="1" si="106"/>
        <v>0</v>
      </c>
      <c r="I444" s="288">
        <f t="shared" ca="1" si="107"/>
        <v>0</v>
      </c>
    </row>
    <row r="445" spans="1:9">
      <c r="A445" s="140">
        <f t="shared" si="95"/>
        <v>428</v>
      </c>
      <c r="B445" s="142">
        <f t="shared" si="101"/>
        <v>59292</v>
      </c>
      <c r="C445" s="141">
        <f t="shared" ca="1" si="103"/>
        <v>0</v>
      </c>
      <c r="D445" s="140"/>
      <c r="E445" s="141">
        <f t="shared" si="108"/>
        <v>0</v>
      </c>
      <c r="F445" s="141">
        <f t="shared" ca="1" si="104"/>
        <v>0</v>
      </c>
      <c r="G445" s="141">
        <f t="shared" ca="1" si="105"/>
        <v>0</v>
      </c>
      <c r="H445" s="141">
        <f t="shared" ca="1" si="106"/>
        <v>0</v>
      </c>
      <c r="I445" s="288">
        <f t="shared" ca="1" si="107"/>
        <v>0</v>
      </c>
    </row>
    <row r="446" spans="1:9">
      <c r="A446" s="140">
        <f t="shared" si="95"/>
        <v>429</v>
      </c>
      <c r="B446" s="142">
        <f t="shared" si="101"/>
        <v>59323</v>
      </c>
      <c r="C446" s="141">
        <f t="shared" ca="1" si="103"/>
        <v>0</v>
      </c>
      <c r="D446" s="140"/>
      <c r="E446" s="141">
        <f t="shared" si="108"/>
        <v>0</v>
      </c>
      <c r="F446" s="141">
        <f t="shared" ca="1" si="104"/>
        <v>0</v>
      </c>
      <c r="G446" s="141">
        <f t="shared" ca="1" si="105"/>
        <v>0</v>
      </c>
      <c r="H446" s="141">
        <f t="shared" ca="1" si="106"/>
        <v>0</v>
      </c>
      <c r="I446" s="288">
        <f t="shared" ca="1" si="107"/>
        <v>0</v>
      </c>
    </row>
    <row r="447" spans="1:9">
      <c r="A447" s="140">
        <f t="shared" si="95"/>
        <v>430</v>
      </c>
      <c r="B447" s="142">
        <f t="shared" si="101"/>
        <v>59353</v>
      </c>
      <c r="C447" s="141">
        <f t="shared" ca="1" si="103"/>
        <v>0</v>
      </c>
      <c r="D447" s="140"/>
      <c r="E447" s="141">
        <f t="shared" si="108"/>
        <v>0</v>
      </c>
      <c r="F447" s="141">
        <f t="shared" ca="1" si="104"/>
        <v>0</v>
      </c>
      <c r="G447" s="141">
        <f t="shared" ca="1" si="105"/>
        <v>0</v>
      </c>
      <c r="H447" s="141">
        <f t="shared" ca="1" si="106"/>
        <v>0</v>
      </c>
      <c r="I447" s="288">
        <f t="shared" ca="1" si="107"/>
        <v>0</v>
      </c>
    </row>
    <row r="448" spans="1:9">
      <c r="A448" s="140">
        <f t="shared" si="95"/>
        <v>431</v>
      </c>
      <c r="B448" s="142">
        <f t="shared" si="101"/>
        <v>59384</v>
      </c>
      <c r="C448" s="141">
        <f t="shared" ref="C448:C477" ca="1" si="109">IF(H447=0,0,H447)</f>
        <v>0</v>
      </c>
      <c r="D448" s="140"/>
      <c r="E448" s="141">
        <f>IF($D$10=1,IF(MONTH(B448)=MONTH($D$7),D447-'Sch3-Perf Period Cash Flow'!AB139,0),IF(MONTH(B448)=MONTH(EDATE($D$7,11)),IF(AND(H447&gt;D437,H447&lt;K173-L173), H447, MIN(D437,H447))-'Sch3-Perf Period Cash Flow'!AB139,0))</f>
        <v>0</v>
      </c>
      <c r="F448" s="141">
        <f t="shared" ref="F448:F477" ca="1" si="110">IF(E448="","",E448-G448)</f>
        <v>0</v>
      </c>
      <c r="G448" s="141">
        <f t="shared" ref="G448:G477" ca="1" si="111">ROUND((C448-E448)*$D$5,3)</f>
        <v>0</v>
      </c>
      <c r="H448" s="141">
        <f t="shared" ref="H448:H477" ca="1" si="112">IF(E448="","",ROUND(H447-F448,4))</f>
        <v>0</v>
      </c>
      <c r="I448" s="288">
        <f t="shared" ref="I448:I477" ca="1" si="113">ROUND((D448-H448),0)</f>
        <v>0</v>
      </c>
    </row>
    <row r="449" spans="1:9">
      <c r="A449" s="140">
        <f t="shared" si="95"/>
        <v>432</v>
      </c>
      <c r="B449" s="142">
        <f t="shared" si="101"/>
        <v>59415</v>
      </c>
      <c r="C449" s="141">
        <f t="shared" ca="1" si="109"/>
        <v>0</v>
      </c>
      <c r="D449" s="141">
        <f ca="1">IF(H449&lt;0,0,IF((H448+G449)&lt;(K53-L53),H448+G449,K53-L53))</f>
        <v>0</v>
      </c>
      <c r="E449" s="141">
        <f ca="1">IF($D$10=1,IF(MONTH(B449)=MONTH($D$7),D448-'Sch3-Perf Period Cash Flow'!AM7,0),IF(MONTH(B449)=MONTH(EDATE($D$7,11)),MIN(D437,H448)-'Sch3-Perf Period Cash Flow'!AM7,0))</f>
        <v>0</v>
      </c>
      <c r="F449" s="141">
        <f t="shared" ca="1" si="110"/>
        <v>0</v>
      </c>
      <c r="G449" s="141">
        <f t="shared" ca="1" si="111"/>
        <v>0</v>
      </c>
      <c r="H449" s="141">
        <f t="shared" ca="1" si="112"/>
        <v>0</v>
      </c>
      <c r="I449" s="288">
        <f t="shared" ca="1" si="113"/>
        <v>0</v>
      </c>
    </row>
    <row r="450" spans="1:9">
      <c r="A450" s="140">
        <f t="shared" si="95"/>
        <v>433</v>
      </c>
      <c r="B450" s="142">
        <f t="shared" si="101"/>
        <v>59445</v>
      </c>
      <c r="C450" s="141">
        <f t="shared" ca="1" si="109"/>
        <v>0</v>
      </c>
      <c r="D450" s="140"/>
      <c r="E450" s="141">
        <f>IF($D$10=1,IF(MONTH(B450)=MONTH($D$7),D449-'Sch3-Perf Period Cash Flow'!AN7,0),IF(MONTH(B450)=MONTH(EDATE($D$7,11)),MIN(D438,H449)-'Sch3-Perf Period Cash Flow'!AN7,0))</f>
        <v>0</v>
      </c>
      <c r="F450" s="141">
        <f t="shared" ca="1" si="110"/>
        <v>0</v>
      </c>
      <c r="G450" s="141">
        <f t="shared" ca="1" si="111"/>
        <v>0</v>
      </c>
      <c r="H450" s="141">
        <f t="shared" ca="1" si="112"/>
        <v>0</v>
      </c>
      <c r="I450" s="288">
        <f t="shared" ca="1" si="113"/>
        <v>0</v>
      </c>
    </row>
    <row r="451" spans="1:9">
      <c r="A451" s="140">
        <f t="shared" si="95"/>
        <v>434</v>
      </c>
      <c r="B451" s="142">
        <f t="shared" si="101"/>
        <v>59476</v>
      </c>
      <c r="C451" s="141">
        <f t="shared" ca="1" si="109"/>
        <v>0</v>
      </c>
      <c r="D451" s="140"/>
      <c r="E451" s="141">
        <f t="shared" si="108"/>
        <v>0</v>
      </c>
      <c r="F451" s="141">
        <f t="shared" ca="1" si="110"/>
        <v>0</v>
      </c>
      <c r="G451" s="141">
        <f t="shared" ca="1" si="111"/>
        <v>0</v>
      </c>
      <c r="H451" s="141">
        <f t="shared" ca="1" si="112"/>
        <v>0</v>
      </c>
      <c r="I451" s="288">
        <f t="shared" ca="1" si="113"/>
        <v>0</v>
      </c>
    </row>
    <row r="452" spans="1:9">
      <c r="A452" s="140">
        <f t="shared" si="95"/>
        <v>435</v>
      </c>
      <c r="B452" s="142">
        <f t="shared" si="101"/>
        <v>59506</v>
      </c>
      <c r="C452" s="141">
        <f t="shared" ca="1" si="109"/>
        <v>0</v>
      </c>
      <c r="D452" s="140"/>
      <c r="E452" s="141">
        <f t="shared" si="108"/>
        <v>0</v>
      </c>
      <c r="F452" s="141">
        <f t="shared" ca="1" si="110"/>
        <v>0</v>
      </c>
      <c r="G452" s="141">
        <f t="shared" ca="1" si="111"/>
        <v>0</v>
      </c>
      <c r="H452" s="141">
        <f t="shared" ca="1" si="112"/>
        <v>0</v>
      </c>
      <c r="I452" s="288">
        <f t="shared" ca="1" si="113"/>
        <v>0</v>
      </c>
    </row>
    <row r="453" spans="1:9">
      <c r="A453" s="140">
        <f t="shared" si="95"/>
        <v>436</v>
      </c>
      <c r="B453" s="142">
        <f t="shared" si="101"/>
        <v>59537</v>
      </c>
      <c r="C453" s="141">
        <f t="shared" ca="1" si="109"/>
        <v>0</v>
      </c>
      <c r="D453" s="140"/>
      <c r="E453" s="141">
        <f t="shared" si="108"/>
        <v>0</v>
      </c>
      <c r="F453" s="141">
        <f t="shared" ca="1" si="110"/>
        <v>0</v>
      </c>
      <c r="G453" s="141">
        <f t="shared" ca="1" si="111"/>
        <v>0</v>
      </c>
      <c r="H453" s="141">
        <f t="shared" ca="1" si="112"/>
        <v>0</v>
      </c>
      <c r="I453" s="288">
        <f t="shared" ca="1" si="113"/>
        <v>0</v>
      </c>
    </row>
    <row r="454" spans="1:9">
      <c r="A454" s="140">
        <f t="shared" si="95"/>
        <v>437</v>
      </c>
      <c r="B454" s="142">
        <f t="shared" si="101"/>
        <v>59568</v>
      </c>
      <c r="C454" s="141">
        <f t="shared" ca="1" si="109"/>
        <v>0</v>
      </c>
      <c r="D454" s="140"/>
      <c r="E454" s="141">
        <f t="shared" si="108"/>
        <v>0</v>
      </c>
      <c r="F454" s="141">
        <f t="shared" ca="1" si="110"/>
        <v>0</v>
      </c>
      <c r="G454" s="141">
        <f t="shared" ca="1" si="111"/>
        <v>0</v>
      </c>
      <c r="H454" s="141">
        <f t="shared" ca="1" si="112"/>
        <v>0</v>
      </c>
      <c r="I454" s="288">
        <f t="shared" ca="1" si="113"/>
        <v>0</v>
      </c>
    </row>
    <row r="455" spans="1:9">
      <c r="A455" s="140">
        <f t="shared" si="95"/>
        <v>438</v>
      </c>
      <c r="B455" s="142">
        <f t="shared" si="101"/>
        <v>59596</v>
      </c>
      <c r="C455" s="141">
        <f t="shared" ca="1" si="109"/>
        <v>0</v>
      </c>
      <c r="D455" s="140"/>
      <c r="E455" s="141">
        <f t="shared" si="108"/>
        <v>0</v>
      </c>
      <c r="F455" s="141">
        <f t="shared" ca="1" si="110"/>
        <v>0</v>
      </c>
      <c r="G455" s="141">
        <f t="shared" ca="1" si="111"/>
        <v>0</v>
      </c>
      <c r="H455" s="141">
        <f t="shared" ca="1" si="112"/>
        <v>0</v>
      </c>
      <c r="I455" s="288">
        <f t="shared" ca="1" si="113"/>
        <v>0</v>
      </c>
    </row>
    <row r="456" spans="1:9">
      <c r="A456" s="140">
        <f t="shared" si="95"/>
        <v>439</v>
      </c>
      <c r="B456" s="142">
        <f t="shared" si="101"/>
        <v>59627</v>
      </c>
      <c r="C456" s="141">
        <f t="shared" ca="1" si="109"/>
        <v>0</v>
      </c>
      <c r="D456" s="140"/>
      <c r="E456" s="141">
        <f t="shared" si="108"/>
        <v>0</v>
      </c>
      <c r="F456" s="141">
        <f t="shared" ca="1" si="110"/>
        <v>0</v>
      </c>
      <c r="G456" s="141">
        <f t="shared" ca="1" si="111"/>
        <v>0</v>
      </c>
      <c r="H456" s="141">
        <f t="shared" ca="1" si="112"/>
        <v>0</v>
      </c>
      <c r="I456" s="288">
        <f t="shared" ca="1" si="113"/>
        <v>0</v>
      </c>
    </row>
    <row r="457" spans="1:9">
      <c r="A457" s="140">
        <f t="shared" si="95"/>
        <v>440</v>
      </c>
      <c r="B457" s="142">
        <f t="shared" si="101"/>
        <v>59657</v>
      </c>
      <c r="C457" s="141">
        <f t="shared" ca="1" si="109"/>
        <v>0</v>
      </c>
      <c r="D457" s="140"/>
      <c r="E457" s="141">
        <f t="shared" si="108"/>
        <v>0</v>
      </c>
      <c r="F457" s="141">
        <f t="shared" ca="1" si="110"/>
        <v>0</v>
      </c>
      <c r="G457" s="141">
        <f t="shared" ca="1" si="111"/>
        <v>0</v>
      </c>
      <c r="H457" s="141">
        <f t="shared" ca="1" si="112"/>
        <v>0</v>
      </c>
      <c r="I457" s="288">
        <f t="shared" ca="1" si="113"/>
        <v>0</v>
      </c>
    </row>
    <row r="458" spans="1:9">
      <c r="A458" s="140">
        <f t="shared" si="95"/>
        <v>441</v>
      </c>
      <c r="B458" s="142">
        <f t="shared" si="101"/>
        <v>59688</v>
      </c>
      <c r="C458" s="141">
        <f t="shared" ca="1" si="109"/>
        <v>0</v>
      </c>
      <c r="D458" s="140"/>
      <c r="E458" s="141">
        <f t="shared" si="108"/>
        <v>0</v>
      </c>
      <c r="F458" s="141">
        <f t="shared" ca="1" si="110"/>
        <v>0</v>
      </c>
      <c r="G458" s="141">
        <f t="shared" ca="1" si="111"/>
        <v>0</v>
      </c>
      <c r="H458" s="141">
        <f t="shared" ca="1" si="112"/>
        <v>0</v>
      </c>
      <c r="I458" s="288">
        <f t="shared" ca="1" si="113"/>
        <v>0</v>
      </c>
    </row>
    <row r="459" spans="1:9">
      <c r="A459" s="140">
        <f t="shared" si="95"/>
        <v>442</v>
      </c>
      <c r="B459" s="142">
        <f t="shared" si="101"/>
        <v>59718</v>
      </c>
      <c r="C459" s="141">
        <f t="shared" ca="1" si="109"/>
        <v>0</v>
      </c>
      <c r="D459" s="140"/>
      <c r="E459" s="141">
        <f t="shared" si="108"/>
        <v>0</v>
      </c>
      <c r="F459" s="141">
        <f t="shared" ca="1" si="110"/>
        <v>0</v>
      </c>
      <c r="G459" s="141">
        <f t="shared" ca="1" si="111"/>
        <v>0</v>
      </c>
      <c r="H459" s="141">
        <f t="shared" ca="1" si="112"/>
        <v>0</v>
      </c>
      <c r="I459" s="288">
        <f t="shared" ca="1" si="113"/>
        <v>0</v>
      </c>
    </row>
    <row r="460" spans="1:9">
      <c r="A460" s="140">
        <f t="shared" si="95"/>
        <v>443</v>
      </c>
      <c r="B460" s="142">
        <f t="shared" si="101"/>
        <v>59749</v>
      </c>
      <c r="C460" s="141">
        <f t="shared" ca="1" si="109"/>
        <v>0</v>
      </c>
      <c r="D460" s="140"/>
      <c r="E460" s="141">
        <f>IF($D$10=1,IF(MONTH(B460)=MONTH($D$7),D459-'Sch3-Perf Period Cash Flow'!AB151,0),IF(MONTH(B460)=MONTH(EDATE($D$7,11)),IF(AND(H459&gt;D449,H459&lt;K185-L185), H459, MIN(D449,H459))-'Sch3-Perf Period Cash Flow'!AB151,0))</f>
        <v>0</v>
      </c>
      <c r="F460" s="141">
        <f t="shared" ca="1" si="110"/>
        <v>0</v>
      </c>
      <c r="G460" s="141">
        <f t="shared" ca="1" si="111"/>
        <v>0</v>
      </c>
      <c r="H460" s="141">
        <f t="shared" ca="1" si="112"/>
        <v>0</v>
      </c>
      <c r="I460" s="288">
        <f t="shared" ca="1" si="113"/>
        <v>0</v>
      </c>
    </row>
    <row r="461" spans="1:9">
      <c r="A461" s="140">
        <f t="shared" si="95"/>
        <v>444</v>
      </c>
      <c r="B461" s="142">
        <f t="shared" si="101"/>
        <v>59780</v>
      </c>
      <c r="C461" s="141">
        <f t="shared" ca="1" si="109"/>
        <v>0</v>
      </c>
      <c r="D461" s="141">
        <f ca="1">IF(H461&lt;0,0,IF((H460+G461)&lt;(K54-L54),H460+G461,K54-L54))</f>
        <v>0</v>
      </c>
      <c r="E461" s="141">
        <f ca="1">IF($D$10=1,IF(MONTH(B461)=MONTH($D$7),D460-'Sch3-Perf Period Cash Flow'!AN7,0),IF(MONTH(B461)=MONTH(EDATE($D$7,11)),MIN(D449,H460)-'Sch3-Perf Period Cash Flow'!AN7,0))</f>
        <v>0</v>
      </c>
      <c r="F461" s="141">
        <f t="shared" ca="1" si="110"/>
        <v>0</v>
      </c>
      <c r="G461" s="141">
        <f t="shared" ca="1" si="111"/>
        <v>0</v>
      </c>
      <c r="H461" s="141">
        <f t="shared" ca="1" si="112"/>
        <v>0</v>
      </c>
      <c r="I461" s="288">
        <f t="shared" ca="1" si="113"/>
        <v>0</v>
      </c>
    </row>
    <row r="462" spans="1:9">
      <c r="A462" s="140">
        <f t="shared" si="95"/>
        <v>445</v>
      </c>
      <c r="B462" s="142">
        <f t="shared" si="101"/>
        <v>59810</v>
      </c>
      <c r="C462" s="141">
        <f t="shared" ca="1" si="109"/>
        <v>0</v>
      </c>
      <c r="D462" s="140"/>
      <c r="E462" s="141">
        <f>IF($D$10=1,IF(MONTH(B462)=MONTH($D$7),D461-'Sch3-Perf Period Cash Flow'!AO7,0),IF(MONTH(B462)=MONTH(EDATE($D$7,11)),MIN(D450,H461)-'Sch3-Perf Period Cash Flow'!AO7,0))</f>
        <v>0</v>
      </c>
      <c r="F462" s="141">
        <f t="shared" ca="1" si="110"/>
        <v>0</v>
      </c>
      <c r="G462" s="141">
        <f t="shared" ca="1" si="111"/>
        <v>0</v>
      </c>
      <c r="H462" s="141">
        <f t="shared" ca="1" si="112"/>
        <v>0</v>
      </c>
      <c r="I462" s="288">
        <f t="shared" ca="1" si="113"/>
        <v>0</v>
      </c>
    </row>
    <row r="463" spans="1:9">
      <c r="A463" s="140">
        <f t="shared" si="95"/>
        <v>446</v>
      </c>
      <c r="B463" s="142">
        <f t="shared" si="101"/>
        <v>59841</v>
      </c>
      <c r="C463" s="141">
        <f t="shared" ca="1" si="109"/>
        <v>0</v>
      </c>
      <c r="D463" s="140"/>
      <c r="E463" s="141">
        <f t="shared" ref="E463:E483" si="114">IF($D$10=1,IF(MONTH(B463)=MONTH($D$7),D462,0),IF(MONTH(B463)=MONTH(EDATE($D$7,11)),MIN(D451,H462),0))</f>
        <v>0</v>
      </c>
      <c r="F463" s="141">
        <f t="shared" ca="1" si="110"/>
        <v>0</v>
      </c>
      <c r="G463" s="141">
        <f t="shared" ca="1" si="111"/>
        <v>0</v>
      </c>
      <c r="H463" s="141">
        <f t="shared" ca="1" si="112"/>
        <v>0</v>
      </c>
      <c r="I463" s="288">
        <f t="shared" ca="1" si="113"/>
        <v>0</v>
      </c>
    </row>
    <row r="464" spans="1:9">
      <c r="A464" s="140">
        <f t="shared" si="95"/>
        <v>447</v>
      </c>
      <c r="B464" s="142">
        <f t="shared" si="101"/>
        <v>59871</v>
      </c>
      <c r="C464" s="141">
        <f t="shared" ca="1" si="109"/>
        <v>0</v>
      </c>
      <c r="D464" s="140"/>
      <c r="E464" s="141">
        <f t="shared" si="114"/>
        <v>0</v>
      </c>
      <c r="F464" s="141">
        <f t="shared" ca="1" si="110"/>
        <v>0</v>
      </c>
      <c r="G464" s="141">
        <f t="shared" ca="1" si="111"/>
        <v>0</v>
      </c>
      <c r="H464" s="141">
        <f t="shared" ca="1" si="112"/>
        <v>0</v>
      </c>
      <c r="I464" s="288">
        <f t="shared" ca="1" si="113"/>
        <v>0</v>
      </c>
    </row>
    <row r="465" spans="1:9">
      <c r="A465" s="140">
        <f t="shared" si="95"/>
        <v>448</v>
      </c>
      <c r="B465" s="142">
        <f t="shared" si="101"/>
        <v>59902</v>
      </c>
      <c r="C465" s="141">
        <f t="shared" ca="1" si="109"/>
        <v>0</v>
      </c>
      <c r="D465" s="140"/>
      <c r="E465" s="141">
        <f t="shared" si="114"/>
        <v>0</v>
      </c>
      <c r="F465" s="141">
        <f t="shared" ca="1" si="110"/>
        <v>0</v>
      </c>
      <c r="G465" s="141">
        <f t="shared" ca="1" si="111"/>
        <v>0</v>
      </c>
      <c r="H465" s="141">
        <f t="shared" ca="1" si="112"/>
        <v>0</v>
      </c>
      <c r="I465" s="288">
        <f t="shared" ca="1" si="113"/>
        <v>0</v>
      </c>
    </row>
    <row r="466" spans="1:9">
      <c r="A466" s="140">
        <f t="shared" si="95"/>
        <v>449</v>
      </c>
      <c r="B466" s="142">
        <f t="shared" si="101"/>
        <v>59933</v>
      </c>
      <c r="C466" s="141">
        <f t="shared" ca="1" si="109"/>
        <v>0</v>
      </c>
      <c r="D466" s="140"/>
      <c r="E466" s="141">
        <f t="shared" si="114"/>
        <v>0</v>
      </c>
      <c r="F466" s="141">
        <f t="shared" ca="1" si="110"/>
        <v>0</v>
      </c>
      <c r="G466" s="141">
        <f t="shared" ca="1" si="111"/>
        <v>0</v>
      </c>
      <c r="H466" s="141">
        <f t="shared" ca="1" si="112"/>
        <v>0</v>
      </c>
      <c r="I466" s="288">
        <f t="shared" ca="1" si="113"/>
        <v>0</v>
      </c>
    </row>
    <row r="467" spans="1:9">
      <c r="A467" s="140">
        <f t="shared" ref="A467:A497" si="115">IF(A466="","",IF(A466=$D$6,"",A466+1))</f>
        <v>450</v>
      </c>
      <c r="B467" s="142">
        <f t="shared" si="101"/>
        <v>59962</v>
      </c>
      <c r="C467" s="141">
        <f t="shared" ca="1" si="109"/>
        <v>0</v>
      </c>
      <c r="D467" s="140"/>
      <c r="E467" s="141">
        <f t="shared" si="114"/>
        <v>0</v>
      </c>
      <c r="F467" s="141">
        <f t="shared" ca="1" si="110"/>
        <v>0</v>
      </c>
      <c r="G467" s="141">
        <f t="shared" ca="1" si="111"/>
        <v>0</v>
      </c>
      <c r="H467" s="141">
        <f t="shared" ca="1" si="112"/>
        <v>0</v>
      </c>
      <c r="I467" s="288">
        <f t="shared" ca="1" si="113"/>
        <v>0</v>
      </c>
    </row>
    <row r="468" spans="1:9">
      <c r="A468" s="140">
        <f t="shared" si="115"/>
        <v>451</v>
      </c>
      <c r="B468" s="142">
        <f t="shared" si="101"/>
        <v>59993</v>
      </c>
      <c r="C468" s="141">
        <f t="shared" ca="1" si="109"/>
        <v>0</v>
      </c>
      <c r="D468" s="140"/>
      <c r="E468" s="141">
        <f t="shared" si="114"/>
        <v>0</v>
      </c>
      <c r="F468" s="141">
        <f t="shared" ca="1" si="110"/>
        <v>0</v>
      </c>
      <c r="G468" s="141">
        <f t="shared" ca="1" si="111"/>
        <v>0</v>
      </c>
      <c r="H468" s="141">
        <f t="shared" ca="1" si="112"/>
        <v>0</v>
      </c>
      <c r="I468" s="288">
        <f t="shared" ca="1" si="113"/>
        <v>0</v>
      </c>
    </row>
    <row r="469" spans="1:9">
      <c r="A469" s="140">
        <f t="shared" si="115"/>
        <v>452</v>
      </c>
      <c r="B469" s="142">
        <f t="shared" ref="B469:B497" si="116">DATE(YEAR(B468),MONTH(B468)+1,1)</f>
        <v>60023</v>
      </c>
      <c r="C469" s="141">
        <f t="shared" ca="1" si="109"/>
        <v>0</v>
      </c>
      <c r="D469" s="140"/>
      <c r="E469" s="141">
        <f t="shared" si="114"/>
        <v>0</v>
      </c>
      <c r="F469" s="141">
        <f t="shared" ca="1" si="110"/>
        <v>0</v>
      </c>
      <c r="G469" s="141">
        <f t="shared" ca="1" si="111"/>
        <v>0</v>
      </c>
      <c r="H469" s="141">
        <f t="shared" ca="1" si="112"/>
        <v>0</v>
      </c>
      <c r="I469" s="288">
        <f t="shared" ca="1" si="113"/>
        <v>0</v>
      </c>
    </row>
    <row r="470" spans="1:9">
      <c r="A470" s="140">
        <f t="shared" si="115"/>
        <v>453</v>
      </c>
      <c r="B470" s="142">
        <f t="shared" si="116"/>
        <v>60054</v>
      </c>
      <c r="C470" s="141">
        <f t="shared" ca="1" si="109"/>
        <v>0</v>
      </c>
      <c r="D470" s="140"/>
      <c r="E470" s="141">
        <f t="shared" si="114"/>
        <v>0</v>
      </c>
      <c r="F470" s="141">
        <f t="shared" ca="1" si="110"/>
        <v>0</v>
      </c>
      <c r="G470" s="141">
        <f t="shared" ca="1" si="111"/>
        <v>0</v>
      </c>
      <c r="H470" s="141">
        <f t="shared" ca="1" si="112"/>
        <v>0</v>
      </c>
      <c r="I470" s="288">
        <f t="shared" ca="1" si="113"/>
        <v>0</v>
      </c>
    </row>
    <row r="471" spans="1:9">
      <c r="A471" s="140">
        <f t="shared" si="115"/>
        <v>454</v>
      </c>
      <c r="B471" s="142">
        <f t="shared" si="116"/>
        <v>60084</v>
      </c>
      <c r="C471" s="141">
        <f t="shared" ca="1" si="109"/>
        <v>0</v>
      </c>
      <c r="D471" s="140"/>
      <c r="E471" s="141">
        <f t="shared" si="114"/>
        <v>0</v>
      </c>
      <c r="F471" s="141">
        <f t="shared" ca="1" si="110"/>
        <v>0</v>
      </c>
      <c r="G471" s="141">
        <f t="shared" ca="1" si="111"/>
        <v>0</v>
      </c>
      <c r="H471" s="141">
        <f t="shared" ca="1" si="112"/>
        <v>0</v>
      </c>
      <c r="I471" s="288">
        <f t="shared" ca="1" si="113"/>
        <v>0</v>
      </c>
    </row>
    <row r="472" spans="1:9">
      <c r="A472" s="140">
        <f t="shared" si="115"/>
        <v>455</v>
      </c>
      <c r="B472" s="142">
        <f t="shared" si="116"/>
        <v>60115</v>
      </c>
      <c r="C472" s="141">
        <f t="shared" ca="1" si="109"/>
        <v>0</v>
      </c>
      <c r="D472" s="140"/>
      <c r="E472" s="141">
        <f>IF($D$10=1,IF(MONTH(B472)=MONTH($D$7),D471-'Sch3-Perf Period Cash Flow'!AB163,0),IF(MONTH(B472)=MONTH(EDATE($D$7,11)),IF(AND(H471&gt;D461,H471&lt;K197-L197), H471, MIN(D461,H471))-'Sch3-Perf Period Cash Flow'!AB163,0))</f>
        <v>0</v>
      </c>
      <c r="F472" s="141">
        <f t="shared" ca="1" si="110"/>
        <v>0</v>
      </c>
      <c r="G472" s="141">
        <f t="shared" ca="1" si="111"/>
        <v>0</v>
      </c>
      <c r="H472" s="141">
        <f t="shared" ca="1" si="112"/>
        <v>0</v>
      </c>
      <c r="I472" s="288">
        <f t="shared" ca="1" si="113"/>
        <v>0</v>
      </c>
    </row>
    <row r="473" spans="1:9">
      <c r="A473" s="140">
        <f t="shared" si="115"/>
        <v>456</v>
      </c>
      <c r="B473" s="142">
        <f t="shared" si="116"/>
        <v>60146</v>
      </c>
      <c r="C473" s="141">
        <f t="shared" ca="1" si="109"/>
        <v>0</v>
      </c>
      <c r="D473" s="141">
        <f ca="1">IF(H473&lt;0,0,IF((H472+G473)&lt;(K55-L55),H472+G473,K55-L55))</f>
        <v>0</v>
      </c>
      <c r="E473" s="141">
        <f ca="1">IF($D$10=1,IF(MONTH(B473)=MONTH($D$7),D472-'Sch3-Perf Period Cash Flow'!AO7,0),IF(MONTH(B473)=MONTH(EDATE($D$7,11)),MIN(D461,H472)-'Sch3-Perf Period Cash Flow'!AO7,0))</f>
        <v>0</v>
      </c>
      <c r="F473" s="141">
        <f t="shared" ca="1" si="110"/>
        <v>0</v>
      </c>
      <c r="G473" s="141">
        <f t="shared" ca="1" si="111"/>
        <v>0</v>
      </c>
      <c r="H473" s="141">
        <f t="shared" ca="1" si="112"/>
        <v>0</v>
      </c>
      <c r="I473" s="288">
        <f t="shared" ca="1" si="113"/>
        <v>0</v>
      </c>
    </row>
    <row r="474" spans="1:9">
      <c r="A474" s="140">
        <f t="shared" si="115"/>
        <v>457</v>
      </c>
      <c r="B474" s="142">
        <f t="shared" si="116"/>
        <v>60176</v>
      </c>
      <c r="C474" s="141">
        <f t="shared" ca="1" si="109"/>
        <v>0</v>
      </c>
      <c r="D474" s="140"/>
      <c r="E474" s="141">
        <f>IF($D$10=1,IF(MONTH(B474)=MONTH($D$7),D473-'Sch3-Perf Period Cash Flow'!AP7,0),IF(MONTH(B474)=MONTH(EDATE($D$7,11)),MIN(D462,H473)-'Sch3-Perf Period Cash Flow'!AP7,0))</f>
        <v>0</v>
      </c>
      <c r="F474" s="141">
        <f t="shared" ca="1" si="110"/>
        <v>0</v>
      </c>
      <c r="G474" s="141">
        <f t="shared" ca="1" si="111"/>
        <v>0</v>
      </c>
      <c r="H474" s="141">
        <f t="shared" ca="1" si="112"/>
        <v>0</v>
      </c>
      <c r="I474" s="288">
        <f t="shared" ca="1" si="113"/>
        <v>0</v>
      </c>
    </row>
    <row r="475" spans="1:9">
      <c r="A475" s="140">
        <f t="shared" si="115"/>
        <v>458</v>
      </c>
      <c r="B475" s="142">
        <f t="shared" si="116"/>
        <v>60207</v>
      </c>
      <c r="C475" s="141">
        <f t="shared" ca="1" si="109"/>
        <v>0</v>
      </c>
      <c r="D475" s="140"/>
      <c r="E475" s="141">
        <f t="shared" si="114"/>
        <v>0</v>
      </c>
      <c r="F475" s="141">
        <f t="shared" ca="1" si="110"/>
        <v>0</v>
      </c>
      <c r="G475" s="141">
        <f t="shared" ca="1" si="111"/>
        <v>0</v>
      </c>
      <c r="H475" s="141">
        <f t="shared" ca="1" si="112"/>
        <v>0</v>
      </c>
      <c r="I475" s="288">
        <f t="shared" ca="1" si="113"/>
        <v>0</v>
      </c>
    </row>
    <row r="476" spans="1:9">
      <c r="A476" s="140">
        <f t="shared" si="115"/>
        <v>459</v>
      </c>
      <c r="B476" s="142">
        <f t="shared" si="116"/>
        <v>60237</v>
      </c>
      <c r="C476" s="141">
        <f t="shared" ca="1" si="109"/>
        <v>0</v>
      </c>
      <c r="D476" s="140"/>
      <c r="E476" s="141">
        <f t="shared" si="114"/>
        <v>0</v>
      </c>
      <c r="F476" s="141">
        <f t="shared" ca="1" si="110"/>
        <v>0</v>
      </c>
      <c r="G476" s="141">
        <f t="shared" ca="1" si="111"/>
        <v>0</v>
      </c>
      <c r="H476" s="141">
        <f t="shared" ca="1" si="112"/>
        <v>0</v>
      </c>
      <c r="I476" s="288">
        <f t="shared" ca="1" si="113"/>
        <v>0</v>
      </c>
    </row>
    <row r="477" spans="1:9">
      <c r="A477" s="140">
        <f t="shared" si="115"/>
        <v>460</v>
      </c>
      <c r="B477" s="142">
        <f t="shared" si="116"/>
        <v>60268</v>
      </c>
      <c r="C477" s="141">
        <f t="shared" ca="1" si="109"/>
        <v>0</v>
      </c>
      <c r="D477" s="140"/>
      <c r="E477" s="141">
        <f t="shared" si="114"/>
        <v>0</v>
      </c>
      <c r="F477" s="141">
        <f t="shared" ca="1" si="110"/>
        <v>0</v>
      </c>
      <c r="G477" s="141">
        <f t="shared" ca="1" si="111"/>
        <v>0</v>
      </c>
      <c r="H477" s="141">
        <f t="shared" ca="1" si="112"/>
        <v>0</v>
      </c>
      <c r="I477" s="288">
        <f t="shared" ca="1" si="113"/>
        <v>0</v>
      </c>
    </row>
    <row r="478" spans="1:9">
      <c r="A478" s="140">
        <f t="shared" si="115"/>
        <v>461</v>
      </c>
      <c r="B478" s="142">
        <f t="shared" si="116"/>
        <v>60299</v>
      </c>
      <c r="C478" s="141">
        <f t="shared" ref="C478:C497" ca="1" si="117">IF(H477=0,0,H477)</f>
        <v>0</v>
      </c>
      <c r="D478" s="140"/>
      <c r="E478" s="141">
        <f t="shared" si="114"/>
        <v>0</v>
      </c>
      <c r="F478" s="141">
        <f t="shared" ref="F478:F497" ca="1" si="118">IF(E478="","",E478-G478)</f>
        <v>0</v>
      </c>
      <c r="G478" s="141">
        <f t="shared" ref="G478:G497" ca="1" si="119">ROUND((C478-E478)*$D$5,3)</f>
        <v>0</v>
      </c>
      <c r="H478" s="141">
        <f t="shared" ref="H478:H497" ca="1" si="120">IF(E478="","",ROUND(H477-F478,4))</f>
        <v>0</v>
      </c>
      <c r="I478" s="288">
        <f t="shared" ref="I478:I497" ca="1" si="121">ROUND((D478-H478),0)</f>
        <v>0</v>
      </c>
    </row>
    <row r="479" spans="1:9">
      <c r="A479" s="140">
        <f t="shared" si="115"/>
        <v>462</v>
      </c>
      <c r="B479" s="142">
        <f t="shared" si="116"/>
        <v>60327</v>
      </c>
      <c r="C479" s="141">
        <f t="shared" ca="1" si="117"/>
        <v>0</v>
      </c>
      <c r="D479" s="140"/>
      <c r="E479" s="141">
        <f t="shared" si="114"/>
        <v>0</v>
      </c>
      <c r="F479" s="141">
        <f t="shared" ca="1" si="118"/>
        <v>0</v>
      </c>
      <c r="G479" s="141">
        <f t="shared" ca="1" si="119"/>
        <v>0</v>
      </c>
      <c r="H479" s="141">
        <f t="shared" ca="1" si="120"/>
        <v>0</v>
      </c>
      <c r="I479" s="288">
        <f t="shared" ca="1" si="121"/>
        <v>0</v>
      </c>
    </row>
    <row r="480" spans="1:9">
      <c r="A480" s="140">
        <f t="shared" si="115"/>
        <v>463</v>
      </c>
      <c r="B480" s="142">
        <f t="shared" si="116"/>
        <v>60358</v>
      </c>
      <c r="C480" s="141">
        <f t="shared" ca="1" si="117"/>
        <v>0</v>
      </c>
      <c r="D480" s="140"/>
      <c r="E480" s="141">
        <f t="shared" si="114"/>
        <v>0</v>
      </c>
      <c r="F480" s="141">
        <f t="shared" ca="1" si="118"/>
        <v>0</v>
      </c>
      <c r="G480" s="141">
        <f t="shared" ca="1" si="119"/>
        <v>0</v>
      </c>
      <c r="H480" s="141">
        <f t="shared" ca="1" si="120"/>
        <v>0</v>
      </c>
      <c r="I480" s="288">
        <f t="shared" ca="1" si="121"/>
        <v>0</v>
      </c>
    </row>
    <row r="481" spans="1:9">
      <c r="A481" s="140">
        <f t="shared" si="115"/>
        <v>464</v>
      </c>
      <c r="B481" s="142">
        <f t="shared" si="116"/>
        <v>60388</v>
      </c>
      <c r="C481" s="141">
        <f t="shared" ca="1" si="117"/>
        <v>0</v>
      </c>
      <c r="D481" s="140"/>
      <c r="E481" s="141">
        <f t="shared" si="114"/>
        <v>0</v>
      </c>
      <c r="F481" s="141">
        <f t="shared" ca="1" si="118"/>
        <v>0</v>
      </c>
      <c r="G481" s="141">
        <f t="shared" ca="1" si="119"/>
        <v>0</v>
      </c>
      <c r="H481" s="141">
        <f t="shared" ca="1" si="120"/>
        <v>0</v>
      </c>
      <c r="I481" s="288">
        <f t="shared" ca="1" si="121"/>
        <v>0</v>
      </c>
    </row>
    <row r="482" spans="1:9">
      <c r="A482" s="140">
        <f t="shared" si="115"/>
        <v>465</v>
      </c>
      <c r="B482" s="142">
        <f t="shared" si="116"/>
        <v>60419</v>
      </c>
      <c r="C482" s="141">
        <f t="shared" ca="1" si="117"/>
        <v>0</v>
      </c>
      <c r="D482" s="140"/>
      <c r="E482" s="141">
        <f t="shared" si="114"/>
        <v>0</v>
      </c>
      <c r="F482" s="141">
        <f t="shared" ca="1" si="118"/>
        <v>0</v>
      </c>
      <c r="G482" s="141">
        <f t="shared" ca="1" si="119"/>
        <v>0</v>
      </c>
      <c r="H482" s="141">
        <f t="shared" ca="1" si="120"/>
        <v>0</v>
      </c>
      <c r="I482" s="288">
        <f t="shared" ca="1" si="121"/>
        <v>0</v>
      </c>
    </row>
    <row r="483" spans="1:9">
      <c r="A483" s="140">
        <f t="shared" si="115"/>
        <v>466</v>
      </c>
      <c r="B483" s="142">
        <f t="shared" si="116"/>
        <v>60449</v>
      </c>
      <c r="C483" s="141">
        <f t="shared" ca="1" si="117"/>
        <v>0</v>
      </c>
      <c r="D483" s="140"/>
      <c r="E483" s="141">
        <f t="shared" si="114"/>
        <v>0</v>
      </c>
      <c r="F483" s="141">
        <f t="shared" ca="1" si="118"/>
        <v>0</v>
      </c>
      <c r="G483" s="141">
        <f t="shared" ca="1" si="119"/>
        <v>0</v>
      </c>
      <c r="H483" s="141">
        <f t="shared" ca="1" si="120"/>
        <v>0</v>
      </c>
      <c r="I483" s="288">
        <f t="shared" ca="1" si="121"/>
        <v>0</v>
      </c>
    </row>
    <row r="484" spans="1:9">
      <c r="A484" s="140">
        <f t="shared" si="115"/>
        <v>467</v>
      </c>
      <c r="B484" s="142">
        <f t="shared" si="116"/>
        <v>60480</v>
      </c>
      <c r="C484" s="141">
        <f t="shared" ca="1" si="117"/>
        <v>0</v>
      </c>
      <c r="D484" s="140"/>
      <c r="E484" s="141">
        <f>IF($D$10=1,IF(MONTH(B484)=MONTH($D$7),D483-'Sch3-Perf Period Cash Flow'!AB175,0),IF(MONTH(B484)=MONTH(EDATE($D$7,11)),IF(AND(H483&gt;D473,H483&lt;K209-L209), H483, MIN(D473,H483))-'Sch3-Perf Period Cash Flow'!AB175,0))</f>
        <v>0</v>
      </c>
      <c r="F484" s="141">
        <f t="shared" ca="1" si="118"/>
        <v>0</v>
      </c>
      <c r="G484" s="141">
        <f t="shared" ca="1" si="119"/>
        <v>0</v>
      </c>
      <c r="H484" s="141">
        <f t="shared" ca="1" si="120"/>
        <v>0</v>
      </c>
      <c r="I484" s="288">
        <f t="shared" ca="1" si="121"/>
        <v>0</v>
      </c>
    </row>
    <row r="485" spans="1:9">
      <c r="A485" s="140">
        <f t="shared" si="115"/>
        <v>468</v>
      </c>
      <c r="B485" s="142">
        <f t="shared" si="116"/>
        <v>60511</v>
      </c>
      <c r="C485" s="141">
        <f t="shared" ca="1" si="117"/>
        <v>0</v>
      </c>
      <c r="D485" s="141">
        <f ca="1">IF(H485&lt;0,0,IF((H484+G485)&lt;(K56-L56),H484+G485,K56-L56))</f>
        <v>0</v>
      </c>
      <c r="E485" s="141">
        <f ca="1">IF($D$10=1,IF(MONTH(B485)=MONTH($D$7),D484-'Sch3-Perf Period Cash Flow'!AP7,0),IF(MONTH(B485)=MONTH(EDATE($D$7,11)),MIN(D473,H484)-'Sch3-Perf Period Cash Flow'!AP7,0))</f>
        <v>0</v>
      </c>
      <c r="F485" s="141">
        <f t="shared" ca="1" si="118"/>
        <v>0</v>
      </c>
      <c r="G485" s="141">
        <f t="shared" ca="1" si="119"/>
        <v>0</v>
      </c>
      <c r="H485" s="141">
        <f t="shared" ca="1" si="120"/>
        <v>0</v>
      </c>
      <c r="I485" s="288">
        <f t="shared" ca="1" si="121"/>
        <v>0</v>
      </c>
    </row>
    <row r="486" spans="1:9">
      <c r="A486" s="140">
        <f t="shared" si="115"/>
        <v>469</v>
      </c>
      <c r="B486" s="142">
        <f t="shared" si="116"/>
        <v>60541</v>
      </c>
      <c r="C486" s="141">
        <f t="shared" ca="1" si="117"/>
        <v>0</v>
      </c>
      <c r="D486" s="140"/>
      <c r="E486" s="141">
        <f>IF($D$10=1,IF(MONTH(B486)=MONTH($D$7),D485-'Sch3-Perf Period Cash Flow'!AQ7,0),IF(MONTH(B486)=MONTH(EDATE($D$7,11)),MIN(D474,H485)-'Sch3-Perf Period Cash Flow'!AQ7,0))</f>
        <v>0</v>
      </c>
      <c r="F486" s="141">
        <f t="shared" ca="1" si="118"/>
        <v>0</v>
      </c>
      <c r="G486" s="141">
        <f t="shared" ca="1" si="119"/>
        <v>0</v>
      </c>
      <c r="H486" s="141">
        <f t="shared" ca="1" si="120"/>
        <v>0</v>
      </c>
      <c r="I486" s="288">
        <f t="shared" ca="1" si="121"/>
        <v>0</v>
      </c>
    </row>
    <row r="487" spans="1:9">
      <c r="A487" s="140">
        <f t="shared" si="115"/>
        <v>470</v>
      </c>
      <c r="B487" s="142">
        <f t="shared" si="116"/>
        <v>60572</v>
      </c>
      <c r="C487" s="141">
        <f t="shared" ca="1" si="117"/>
        <v>0</v>
      </c>
      <c r="D487" s="140"/>
      <c r="E487" s="141">
        <f t="shared" ref="E487:E495" si="122">IF($D$10=1,IF(MONTH(B487)=MONTH($D$7),D486,0),IF(MONTH(B487)=MONTH(EDATE($D$7,11)),MIN(D475,H486),0))</f>
        <v>0</v>
      </c>
      <c r="F487" s="141">
        <f t="shared" ca="1" si="118"/>
        <v>0</v>
      </c>
      <c r="G487" s="141">
        <f t="shared" ca="1" si="119"/>
        <v>0</v>
      </c>
      <c r="H487" s="141">
        <f t="shared" ca="1" si="120"/>
        <v>0</v>
      </c>
      <c r="I487" s="288">
        <f t="shared" ca="1" si="121"/>
        <v>0</v>
      </c>
    </row>
    <row r="488" spans="1:9">
      <c r="A488" s="140">
        <f t="shared" si="115"/>
        <v>471</v>
      </c>
      <c r="B488" s="142">
        <f t="shared" si="116"/>
        <v>60602</v>
      </c>
      <c r="C488" s="141">
        <f t="shared" ca="1" si="117"/>
        <v>0</v>
      </c>
      <c r="D488" s="140"/>
      <c r="E488" s="141">
        <f t="shared" si="122"/>
        <v>0</v>
      </c>
      <c r="F488" s="141">
        <f t="shared" ca="1" si="118"/>
        <v>0</v>
      </c>
      <c r="G488" s="141">
        <f t="shared" ca="1" si="119"/>
        <v>0</v>
      </c>
      <c r="H488" s="141">
        <f t="shared" ca="1" si="120"/>
        <v>0</v>
      </c>
      <c r="I488" s="288">
        <f t="shared" ca="1" si="121"/>
        <v>0</v>
      </c>
    </row>
    <row r="489" spans="1:9">
      <c r="A489" s="140">
        <f t="shared" si="115"/>
        <v>472</v>
      </c>
      <c r="B489" s="142">
        <f t="shared" si="116"/>
        <v>60633</v>
      </c>
      <c r="C489" s="141">
        <f t="shared" ca="1" si="117"/>
        <v>0</v>
      </c>
      <c r="D489" s="140"/>
      <c r="E489" s="141">
        <f t="shared" si="122"/>
        <v>0</v>
      </c>
      <c r="F489" s="141">
        <f t="shared" ca="1" si="118"/>
        <v>0</v>
      </c>
      <c r="G489" s="141">
        <f t="shared" ca="1" si="119"/>
        <v>0</v>
      </c>
      <c r="H489" s="141">
        <f t="shared" ca="1" si="120"/>
        <v>0</v>
      </c>
      <c r="I489" s="288">
        <f t="shared" ca="1" si="121"/>
        <v>0</v>
      </c>
    </row>
    <row r="490" spans="1:9">
      <c r="A490" s="140">
        <f t="shared" si="115"/>
        <v>473</v>
      </c>
      <c r="B490" s="142">
        <f t="shared" si="116"/>
        <v>60664</v>
      </c>
      <c r="C490" s="141">
        <f t="shared" ca="1" si="117"/>
        <v>0</v>
      </c>
      <c r="D490" s="140"/>
      <c r="E490" s="141">
        <f t="shared" si="122"/>
        <v>0</v>
      </c>
      <c r="F490" s="141">
        <f t="shared" ca="1" si="118"/>
        <v>0</v>
      </c>
      <c r="G490" s="141">
        <f t="shared" ca="1" si="119"/>
        <v>0</v>
      </c>
      <c r="H490" s="141">
        <f t="shared" ca="1" si="120"/>
        <v>0</v>
      </c>
      <c r="I490" s="288">
        <f t="shared" ca="1" si="121"/>
        <v>0</v>
      </c>
    </row>
    <row r="491" spans="1:9">
      <c r="A491" s="140">
        <f t="shared" si="115"/>
        <v>474</v>
      </c>
      <c r="B491" s="142">
        <f t="shared" si="116"/>
        <v>60692</v>
      </c>
      <c r="C491" s="141">
        <f t="shared" ca="1" si="117"/>
        <v>0</v>
      </c>
      <c r="D491" s="140"/>
      <c r="E491" s="141">
        <f t="shared" si="122"/>
        <v>0</v>
      </c>
      <c r="F491" s="141">
        <f t="shared" ca="1" si="118"/>
        <v>0</v>
      </c>
      <c r="G491" s="141">
        <f t="shared" ca="1" si="119"/>
        <v>0</v>
      </c>
      <c r="H491" s="141">
        <f t="shared" ca="1" si="120"/>
        <v>0</v>
      </c>
      <c r="I491" s="288">
        <f t="shared" ca="1" si="121"/>
        <v>0</v>
      </c>
    </row>
    <row r="492" spans="1:9">
      <c r="A492" s="140">
        <f t="shared" si="115"/>
        <v>475</v>
      </c>
      <c r="B492" s="142">
        <f t="shared" si="116"/>
        <v>60723</v>
      </c>
      <c r="C492" s="141">
        <f t="shared" ca="1" si="117"/>
        <v>0</v>
      </c>
      <c r="D492" s="140"/>
      <c r="E492" s="141">
        <f t="shared" si="122"/>
        <v>0</v>
      </c>
      <c r="F492" s="141">
        <f t="shared" ca="1" si="118"/>
        <v>0</v>
      </c>
      <c r="G492" s="141">
        <f t="shared" ca="1" si="119"/>
        <v>0</v>
      </c>
      <c r="H492" s="141">
        <f t="shared" ca="1" si="120"/>
        <v>0</v>
      </c>
      <c r="I492" s="288">
        <f t="shared" ca="1" si="121"/>
        <v>0</v>
      </c>
    </row>
    <row r="493" spans="1:9">
      <c r="A493" s="140">
        <f t="shared" si="115"/>
        <v>476</v>
      </c>
      <c r="B493" s="142">
        <f t="shared" si="116"/>
        <v>60753</v>
      </c>
      <c r="C493" s="141">
        <f t="shared" ca="1" si="117"/>
        <v>0</v>
      </c>
      <c r="D493" s="140"/>
      <c r="E493" s="141">
        <f t="shared" si="122"/>
        <v>0</v>
      </c>
      <c r="F493" s="141">
        <f t="shared" ca="1" si="118"/>
        <v>0</v>
      </c>
      <c r="G493" s="141">
        <f t="shared" ca="1" si="119"/>
        <v>0</v>
      </c>
      <c r="H493" s="141">
        <f t="shared" ca="1" si="120"/>
        <v>0</v>
      </c>
      <c r="I493" s="288">
        <f t="shared" ca="1" si="121"/>
        <v>0</v>
      </c>
    </row>
    <row r="494" spans="1:9">
      <c r="A494" s="140">
        <f t="shared" si="115"/>
        <v>477</v>
      </c>
      <c r="B494" s="142">
        <f t="shared" si="116"/>
        <v>60784</v>
      </c>
      <c r="C494" s="141">
        <f t="shared" ca="1" si="117"/>
        <v>0</v>
      </c>
      <c r="D494" s="140"/>
      <c r="E494" s="141">
        <f t="shared" si="122"/>
        <v>0</v>
      </c>
      <c r="F494" s="141">
        <f t="shared" ca="1" si="118"/>
        <v>0</v>
      </c>
      <c r="G494" s="141">
        <f t="shared" ca="1" si="119"/>
        <v>0</v>
      </c>
      <c r="H494" s="141">
        <f t="shared" ca="1" si="120"/>
        <v>0</v>
      </c>
      <c r="I494" s="288">
        <f t="shared" ca="1" si="121"/>
        <v>0</v>
      </c>
    </row>
    <row r="495" spans="1:9">
      <c r="A495" s="140">
        <f t="shared" si="115"/>
        <v>478</v>
      </c>
      <c r="B495" s="142">
        <f t="shared" si="116"/>
        <v>60814</v>
      </c>
      <c r="C495" s="141">
        <f t="shared" ca="1" si="117"/>
        <v>0</v>
      </c>
      <c r="D495" s="140"/>
      <c r="E495" s="141">
        <f t="shared" si="122"/>
        <v>0</v>
      </c>
      <c r="F495" s="141">
        <f t="shared" ca="1" si="118"/>
        <v>0</v>
      </c>
      <c r="G495" s="141">
        <f t="shared" ca="1" si="119"/>
        <v>0</v>
      </c>
      <c r="H495" s="141">
        <f t="shared" ca="1" si="120"/>
        <v>0</v>
      </c>
      <c r="I495" s="288">
        <f t="shared" ca="1" si="121"/>
        <v>0</v>
      </c>
    </row>
    <row r="496" spans="1:9">
      <c r="A496" s="140">
        <f t="shared" si="115"/>
        <v>479</v>
      </c>
      <c r="B496" s="142">
        <f t="shared" si="116"/>
        <v>60845</v>
      </c>
      <c r="C496" s="141">
        <f t="shared" ca="1" si="117"/>
        <v>0</v>
      </c>
      <c r="D496" s="140"/>
      <c r="E496" s="141">
        <f>IF($D$10=1,IF(MONTH(B496)=MONTH($D$7),D495-'Sch3-Perf Period Cash Flow'!AB187,0),IF(MONTH(B496)=MONTH(EDATE($D$7,11)),IF(AND(H495&gt;D485,H495&lt;K221-L221), H495, MIN(D485,H495))-'Sch3-Perf Period Cash Flow'!AB187,0))</f>
        <v>0</v>
      </c>
      <c r="F496" s="141">
        <f t="shared" ca="1" si="118"/>
        <v>0</v>
      </c>
      <c r="G496" s="141">
        <f t="shared" ca="1" si="119"/>
        <v>0</v>
      </c>
      <c r="H496" s="141">
        <f t="shared" ca="1" si="120"/>
        <v>0</v>
      </c>
      <c r="I496" s="288">
        <f t="shared" ca="1" si="121"/>
        <v>0</v>
      </c>
    </row>
    <row r="497" spans="1:9">
      <c r="A497" s="140">
        <f t="shared" si="115"/>
        <v>480</v>
      </c>
      <c r="B497" s="142">
        <f t="shared" si="116"/>
        <v>60876</v>
      </c>
      <c r="C497" s="141">
        <f t="shared" ca="1" si="117"/>
        <v>0</v>
      </c>
      <c r="D497" s="141">
        <f ca="1">IF(H497&lt;0,0,IF((H496+G497)&lt;(K57-L57),H496+G497,K57-L57))</f>
        <v>0</v>
      </c>
      <c r="E497" s="141">
        <f ca="1">IF($D$10=1,IF(MONTH(B497)=MONTH($D$7),D496-'Sch3-Perf Period Cash Flow'!AQ7,0),IF(MONTH(B497)=MONTH(EDATE($D$7,11)),MIN(D485,H496)-'Sch3-Perf Period Cash Flow'!AQ7,0))</f>
        <v>0</v>
      </c>
      <c r="F497" s="141">
        <f t="shared" ca="1" si="118"/>
        <v>0</v>
      </c>
      <c r="G497" s="141">
        <f t="shared" ca="1" si="119"/>
        <v>0</v>
      </c>
      <c r="H497" s="141">
        <f t="shared" ca="1" si="120"/>
        <v>0</v>
      </c>
      <c r="I497" s="288">
        <f t="shared" ca="1" si="121"/>
        <v>0</v>
      </c>
    </row>
    <row r="498" spans="1:9">
      <c r="H498" s="94" cm="1">
        <f t="array" aca="1" ref="H498" ca="1">INDEX(A17:A497,MATCH(TRUE,INDEX(I17:I497&gt;=0,),0))</f>
        <v>204</v>
      </c>
    </row>
  </sheetData>
  <mergeCells count="11">
    <mergeCell ref="A4:C4"/>
    <mergeCell ref="A5:C5"/>
    <mergeCell ref="A6:C6"/>
    <mergeCell ref="A1:H1"/>
    <mergeCell ref="A15:C15"/>
    <mergeCell ref="A14:C14"/>
    <mergeCell ref="A7:C7"/>
    <mergeCell ref="A10:C10"/>
    <mergeCell ref="A11:C11"/>
    <mergeCell ref="A12:C12"/>
    <mergeCell ref="A13:C13"/>
  </mergeCells>
  <phoneticPr fontId="5" type="noConversion"/>
  <pageMargins left="0.75" right="0.5" top="0.5" bottom="0.5"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H269"/>
  <sheetViews>
    <sheetView topLeftCell="P1" zoomScale="90" zoomScaleNormal="90" zoomScalePageLayoutView="75" workbookViewId="0">
      <pane ySplit="9" topLeftCell="A250" activePane="bottomLeft" state="frozenSplit"/>
      <selection pane="bottomLeft" activeCell="AE258" sqref="AE258"/>
    </sheetView>
  </sheetViews>
  <sheetFormatPr baseColWidth="10" defaultColWidth="11" defaultRowHeight="16"/>
  <cols>
    <col min="1" max="1" width="16" style="4" customWidth="1"/>
    <col min="2" max="2" width="47.83203125" style="4" customWidth="1"/>
    <col min="3" max="3" width="15.83203125" style="4" customWidth="1"/>
    <col min="4" max="4" width="15.5" style="4" bestFit="1" customWidth="1"/>
    <col min="5" max="7" width="13.5" style="4" customWidth="1"/>
    <col min="8" max="9" width="19" style="4" customWidth="1"/>
    <col min="10" max="31" width="13.5" style="4" customWidth="1"/>
    <col min="32" max="32" width="15.83203125" style="4" customWidth="1"/>
    <col min="33" max="33" width="11" style="4" customWidth="1"/>
    <col min="34" max="16384" width="11" style="4"/>
  </cols>
  <sheetData>
    <row r="1" spans="1:34" ht="21">
      <c r="A1" s="661" t="s">
        <v>106</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row>
    <row r="2" spans="1:34" ht="22" thickBot="1">
      <c r="A2" s="731" t="s">
        <v>132</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row>
    <row r="3" spans="1:34" ht="17" thickBot="1">
      <c r="A3" s="6"/>
      <c r="B3" s="7"/>
      <c r="C3" s="7"/>
      <c r="D3" s="7"/>
      <c r="E3" s="7"/>
      <c r="F3" s="7"/>
      <c r="G3" s="7"/>
      <c r="H3" s="7"/>
      <c r="I3" s="7"/>
      <c r="J3" s="7"/>
      <c r="K3" s="7"/>
      <c r="L3" s="7"/>
      <c r="M3" s="7"/>
      <c r="N3" s="7"/>
      <c r="O3" s="7"/>
      <c r="P3" s="7"/>
      <c r="Q3" s="7"/>
      <c r="R3" s="7"/>
      <c r="S3" s="7"/>
      <c r="T3" s="7"/>
      <c r="U3" s="7"/>
      <c r="V3" s="8"/>
      <c r="W3" s="8"/>
      <c r="X3" s="8"/>
      <c r="Y3" s="8"/>
      <c r="Z3" s="8"/>
      <c r="AA3" s="8"/>
      <c r="AB3" s="8"/>
      <c r="AC3" s="8"/>
      <c r="AD3" s="8"/>
      <c r="AE3" s="8"/>
      <c r="AF3" s="8"/>
      <c r="AG3" s="9"/>
    </row>
    <row r="4" spans="1:34" ht="46" thickBot="1">
      <c r="A4" s="735" t="s">
        <v>16</v>
      </c>
      <c r="B4" s="736"/>
      <c r="C4" s="736"/>
      <c r="D4" s="733"/>
      <c r="E4" s="648" t="s">
        <v>85</v>
      </c>
      <c r="F4" s="649"/>
      <c r="G4" s="649"/>
      <c r="H4" s="649"/>
      <c r="I4" s="649"/>
      <c r="J4" s="649"/>
      <c r="K4" s="649"/>
      <c r="L4" s="649"/>
      <c r="M4" s="649"/>
      <c r="N4" s="522"/>
      <c r="O4" s="10" t="s">
        <v>42</v>
      </c>
      <c r="P4" s="11" t="s">
        <v>41</v>
      </c>
      <c r="Q4" s="11" t="s">
        <v>34</v>
      </c>
      <c r="R4" s="11" t="s">
        <v>35</v>
      </c>
      <c r="S4" s="11" t="s">
        <v>36</v>
      </c>
      <c r="T4" s="11" t="s">
        <v>37</v>
      </c>
      <c r="U4" s="11" t="s">
        <v>49</v>
      </c>
      <c r="V4" s="10" t="s">
        <v>50</v>
      </c>
      <c r="W4" s="11" t="s">
        <v>51</v>
      </c>
      <c r="X4" s="10" t="s">
        <v>52</v>
      </c>
      <c r="Y4" s="11" t="s">
        <v>289</v>
      </c>
      <c r="Z4" s="11" t="s">
        <v>53</v>
      </c>
      <c r="AA4" s="11" t="s">
        <v>38</v>
      </c>
      <c r="AB4" s="11" t="s">
        <v>39</v>
      </c>
      <c r="AC4" s="11" t="s">
        <v>40</v>
      </c>
      <c r="AD4" s="11" t="s">
        <v>80</v>
      </c>
      <c r="AE4" s="11" t="s">
        <v>81</v>
      </c>
      <c r="AF4" s="10" t="s">
        <v>82</v>
      </c>
      <c r="AG4" s="10" t="s">
        <v>83</v>
      </c>
    </row>
    <row r="5" spans="1:34" ht="60">
      <c r="A5" s="732" t="s">
        <v>27</v>
      </c>
      <c r="B5" s="733" t="s">
        <v>43</v>
      </c>
      <c r="C5" s="732" t="s">
        <v>596</v>
      </c>
      <c r="D5" s="665" t="str">
        <f>IF('Summary Schedule'!C4="UESC", "Performance assurance option(s)", "First Year M&amp;V Option*")</f>
        <v>First Year M&amp;V Option*</v>
      </c>
      <c r="E5" s="43" t="s">
        <v>71</v>
      </c>
      <c r="F5" s="43" t="s">
        <v>72</v>
      </c>
      <c r="G5" s="43" t="s">
        <v>74</v>
      </c>
      <c r="H5" s="154" t="str">
        <f>"Baseline Use"&amp;MID('Annual Escalation Rates'!E4,FIND(":",'Annual Escalation Rates'!E4),15)</f>
        <v>Baseline Use: Heating Oil</v>
      </c>
      <c r="I5" s="154" t="str">
        <f>"Baseline Use"&amp;MID('Annual Escalation Rates'!F4,FIND(":",'Annual Escalation Rates'!F4),15)</f>
        <v>Baseline Use: Other</v>
      </c>
      <c r="J5" s="42" t="s">
        <v>73</v>
      </c>
      <c r="K5" s="43" t="s">
        <v>79</v>
      </c>
      <c r="L5" s="43" t="s">
        <v>75</v>
      </c>
      <c r="M5" s="43" t="s">
        <v>76</v>
      </c>
      <c r="N5" s="43" t="s">
        <v>138</v>
      </c>
      <c r="O5" s="43" t="s">
        <v>17</v>
      </c>
      <c r="P5" s="43" t="s">
        <v>17</v>
      </c>
      <c r="Q5" s="43" t="s">
        <v>20</v>
      </c>
      <c r="R5" s="43" t="s">
        <v>20</v>
      </c>
      <c r="S5" s="43" t="s">
        <v>21</v>
      </c>
      <c r="T5" s="43" t="s">
        <v>21</v>
      </c>
      <c r="U5" s="154" t="str">
        <f>'Annual Escalation Rates'!E4</f>
        <v>Other Savings Type 1: Heating Oil</v>
      </c>
      <c r="V5" s="154" t="str">
        <f>'Annual Escalation Rates'!E4</f>
        <v>Other Savings Type 1: Heating Oil</v>
      </c>
      <c r="W5" s="154" t="str">
        <f>'Annual Escalation Rates'!F4</f>
        <v>Other Savings Type 2: Other</v>
      </c>
      <c r="X5" s="154" t="str">
        <f>'Annual Escalation Rates'!F4</f>
        <v>Other Savings Type 2: Other</v>
      </c>
      <c r="Y5" s="43" t="s">
        <v>22</v>
      </c>
      <c r="Z5" s="43" t="s">
        <v>23</v>
      </c>
      <c r="AA5" s="43" t="s">
        <v>24</v>
      </c>
      <c r="AB5" s="43" t="s">
        <v>24</v>
      </c>
      <c r="AC5" s="43" t="s">
        <v>55</v>
      </c>
      <c r="AD5" s="43" t="s">
        <v>78</v>
      </c>
      <c r="AE5" s="43" t="s">
        <v>25</v>
      </c>
      <c r="AF5" s="43" t="s">
        <v>58</v>
      </c>
      <c r="AG5" s="43" t="s">
        <v>28</v>
      </c>
    </row>
    <row r="6" spans="1:34" ht="17" thickBot="1">
      <c r="A6" s="658"/>
      <c r="B6" s="734"/>
      <c r="C6" s="737"/>
      <c r="D6" s="666"/>
      <c r="E6" s="43" t="s">
        <v>18</v>
      </c>
      <c r="F6" s="43" t="s">
        <v>63</v>
      </c>
      <c r="G6" s="43" t="s">
        <v>54</v>
      </c>
      <c r="H6" s="43" t="s">
        <v>54</v>
      </c>
      <c r="I6" s="43" t="s">
        <v>54</v>
      </c>
      <c r="J6" s="12" t="s">
        <v>77</v>
      </c>
      <c r="K6" s="43" t="s">
        <v>19</v>
      </c>
      <c r="L6" s="43" t="s">
        <v>19</v>
      </c>
      <c r="M6" s="43" t="s">
        <v>19</v>
      </c>
      <c r="N6" s="43"/>
      <c r="O6" s="43" t="s">
        <v>18</v>
      </c>
      <c r="P6" s="43" t="s">
        <v>19</v>
      </c>
      <c r="Q6" s="43" t="s">
        <v>63</v>
      </c>
      <c r="R6" s="43" t="s">
        <v>19</v>
      </c>
      <c r="S6" s="43" t="s">
        <v>54</v>
      </c>
      <c r="T6" s="43" t="s">
        <v>19</v>
      </c>
      <c r="U6" s="43" t="s">
        <v>54</v>
      </c>
      <c r="V6" s="43" t="s">
        <v>19</v>
      </c>
      <c r="W6" s="43" t="s">
        <v>54</v>
      </c>
      <c r="X6" s="43" t="s">
        <v>19</v>
      </c>
      <c r="Y6" s="43" t="s">
        <v>54</v>
      </c>
      <c r="Z6" s="43" t="s">
        <v>19</v>
      </c>
      <c r="AA6" s="43" t="s">
        <v>29</v>
      </c>
      <c r="AB6" s="43" t="s">
        <v>19</v>
      </c>
      <c r="AC6" s="43" t="s">
        <v>19</v>
      </c>
      <c r="AD6" s="43" t="s">
        <v>19</v>
      </c>
      <c r="AE6" s="43" t="s">
        <v>19</v>
      </c>
      <c r="AF6" s="43" t="s">
        <v>10</v>
      </c>
      <c r="AG6" s="43" t="s">
        <v>84</v>
      </c>
    </row>
    <row r="7" spans="1:34" ht="31" thickBot="1">
      <c r="A7" s="389"/>
      <c r="B7" s="176" t="str">
        <f>IF('Sch2a-Imp Price by ECM'!A8="","",'Sch2a-Imp Price by ECM'!A8)</f>
        <v>Project Development Price (PDP)-Technical Energy Audit and Project Proposal</v>
      </c>
      <c r="C7" s="399"/>
      <c r="D7" s="389" t="s">
        <v>205</v>
      </c>
      <c r="E7" s="13"/>
      <c r="F7" s="13"/>
      <c r="G7" s="13"/>
      <c r="H7" s="13"/>
      <c r="I7" s="13"/>
      <c r="J7" s="13"/>
      <c r="K7" s="13"/>
      <c r="L7" s="13"/>
      <c r="M7" s="13"/>
      <c r="N7" s="13"/>
      <c r="O7" s="13"/>
      <c r="P7" s="13"/>
      <c r="Q7" s="13"/>
      <c r="R7" s="13"/>
      <c r="S7" s="13"/>
      <c r="T7" s="13"/>
      <c r="U7" s="13"/>
      <c r="V7" s="13"/>
      <c r="W7" s="13"/>
      <c r="X7" s="13"/>
      <c r="Y7" s="14"/>
      <c r="Z7" s="14"/>
      <c r="AA7" s="13"/>
      <c r="AB7" s="13"/>
      <c r="AC7" s="13"/>
      <c r="AD7" s="13"/>
      <c r="AE7" s="15"/>
      <c r="AF7" s="127">
        <f>'Sch2a-Imp Price by ECM'!L8</f>
        <v>675000</v>
      </c>
      <c r="AG7" s="15"/>
    </row>
    <row r="8" spans="1:34" ht="14.25" customHeight="1" thickBot="1">
      <c r="A8" s="75" t="str">
        <f>IF('Sch2a-Imp Price by ECM'!B9="","",'Sch2a-Imp Price by ECM'!B9)</f>
        <v>1A</v>
      </c>
      <c r="B8" s="174" t="str">
        <f>IF('Sch2a-Imp Price by ECM'!D9="","",'Sch2a-Imp Price by ECM'!D9)</f>
        <v>Boiler Plant Improvements</v>
      </c>
      <c r="C8" s="400" t="str">
        <f>IF('Sch2a-Imp Price by ECM'!G9="","",'Sch2a-Imp Price by ECM'!G9)</f>
        <v>See Table 6, PA</v>
      </c>
      <c r="D8" s="274" t="s">
        <v>332</v>
      </c>
      <c r="E8" s="496">
        <v>307120</v>
      </c>
      <c r="F8" s="496"/>
      <c r="G8" s="496">
        <v>33342</v>
      </c>
      <c r="H8" s="496">
        <v>28754</v>
      </c>
      <c r="I8" s="276"/>
      <c r="J8" s="496">
        <v>4800</v>
      </c>
      <c r="K8" s="496">
        <v>4800</v>
      </c>
      <c r="L8" s="275"/>
      <c r="M8" s="275">
        <f>1750000</f>
        <v>1750000</v>
      </c>
      <c r="N8" s="275"/>
      <c r="O8" s="496">
        <v>-4130100</v>
      </c>
      <c r="P8" s="497">
        <v>-428407.90041024511</v>
      </c>
      <c r="Q8" s="497"/>
      <c r="R8" s="427"/>
      <c r="S8" s="427">
        <v>4500</v>
      </c>
      <c r="T8" s="497">
        <v>27668.284830000001</v>
      </c>
      <c r="U8" s="497">
        <v>31949.000000000004</v>
      </c>
      <c r="V8" s="497">
        <v>801434.08350600011</v>
      </c>
      <c r="W8" s="427"/>
      <c r="X8" s="427"/>
      <c r="Y8" s="390">
        <f>(O8*3412/10^6)+S8+U8+W8</f>
        <v>22357.098800000003</v>
      </c>
      <c r="Z8" s="16">
        <f t="shared" ref="Z8:Z13" si="0">P8+R8+V8+X8+T8</f>
        <v>400694.46792575502</v>
      </c>
      <c r="AA8" s="427">
        <v>4419</v>
      </c>
      <c r="AB8" s="277">
        <v>73320.047999999995</v>
      </c>
      <c r="AC8" s="497">
        <v>156979.34999999998</v>
      </c>
      <c r="AD8" s="278"/>
      <c r="AE8" s="139">
        <f>Z8+AB8+AC8+AD8</f>
        <v>630993.865925755</v>
      </c>
      <c r="AF8" s="139">
        <f>IF('Sch2a-Imp Price by ECM'!C9="Yes", 0, 'Sch2a-Imp Price by ECM'!L9)</f>
        <v>8000000.3793103397</v>
      </c>
      <c r="AG8" s="159">
        <f>IF(AF8="","",AF8/AE8)</f>
        <v>12.67841228150964</v>
      </c>
      <c r="AH8" s="4" t="str">
        <f>IF('Sch2a-Imp Price by ECM'!M9="","",'Sch2a-Imp Price by ECM'!M9)</f>
        <v/>
      </c>
    </row>
    <row r="9" spans="1:34" ht="17" thickBot="1">
      <c r="A9" s="75" t="str">
        <f>IF('Sch2a-Imp Price by ECM'!B10="","",'Sch2a-Imp Price by ECM'!B10)</f>
        <v>3A</v>
      </c>
      <c r="B9" s="174" t="str">
        <f>IF('Sch2a-Imp Price by ECM'!D10="","",'Sch2a-Imp Price by ECM'!D10)</f>
        <v xml:space="preserve">Controls </v>
      </c>
      <c r="C9" s="400" t="str">
        <f>IF('Sch2a-Imp Price by ECM'!G10="","",'Sch2a-Imp Price by ECM'!G10)</f>
        <v>See Table 6, PA</v>
      </c>
      <c r="D9" s="274" t="s">
        <v>332</v>
      </c>
      <c r="E9" s="496">
        <v>1842720</v>
      </c>
      <c r="F9" s="496"/>
      <c r="G9" s="496"/>
      <c r="H9" s="496"/>
      <c r="I9" s="276"/>
      <c r="J9" s="496"/>
      <c r="K9" s="496"/>
      <c r="L9" s="275"/>
      <c r="M9" s="275"/>
      <c r="N9" s="275"/>
      <c r="O9" s="496">
        <v>2147652</v>
      </c>
      <c r="P9" s="497">
        <v>222697.529037828</v>
      </c>
      <c r="Q9" s="497"/>
      <c r="R9" s="427"/>
      <c r="S9" s="427">
        <v>0</v>
      </c>
      <c r="T9" s="497">
        <v>0</v>
      </c>
      <c r="U9" s="497"/>
      <c r="V9" s="427"/>
      <c r="W9" s="497"/>
      <c r="X9" s="427"/>
      <c r="Y9" s="390">
        <f>(O9*3412/10^6)+S9+U9+W9</f>
        <v>7327.7886239999998</v>
      </c>
      <c r="Z9" s="16">
        <f t="shared" si="0"/>
        <v>222697.529037828</v>
      </c>
      <c r="AA9" s="427">
        <v>0</v>
      </c>
      <c r="AB9" s="497">
        <v>0</v>
      </c>
      <c r="AC9" s="497"/>
      <c r="AD9" s="278"/>
      <c r="AE9" s="139">
        <f t="shared" ref="AE9:AE72" si="1">Z9+AB9+AC9+AD9</f>
        <v>222697.529037828</v>
      </c>
      <c r="AF9" s="139">
        <f>IF('Sch2a-Imp Price by ECM'!C10="Yes", 0, 'Sch2a-Imp Price by ECM'!L10)</f>
        <v>2499999.9999999972</v>
      </c>
      <c r="AG9" s="159">
        <f t="shared" ref="AG9:AG72" si="2">IF(AF9="","",AF9/AE9)</f>
        <v>11.225988949232304</v>
      </c>
      <c r="AH9" s="4" t="str">
        <f>IF('Sch2a-Imp Price by ECM'!M10="","",'Sch2a-Imp Price by ECM'!M10)</f>
        <v/>
      </c>
    </row>
    <row r="10" spans="1:34" ht="17" thickBot="1">
      <c r="A10" s="75" t="str">
        <f>IF('Sch2a-Imp Price by ECM'!B11="","",'Sch2a-Imp Price by ECM'!B11)</f>
        <v>5A</v>
      </c>
      <c r="B10" s="174" t="str">
        <f>IF('Sch2a-Imp Price by ECM'!D11="","",'Sch2a-Imp Price by ECM'!D11)</f>
        <v>Lighting Upgrade</v>
      </c>
      <c r="C10" s="400" t="str">
        <f>IF('Sch2a-Imp Price by ECM'!G11="","",'Sch2a-Imp Price by ECM'!G11)</f>
        <v>See Table 6, PA</v>
      </c>
      <c r="D10" s="274" t="s">
        <v>332</v>
      </c>
      <c r="E10" s="496">
        <v>2303400</v>
      </c>
      <c r="F10" s="496"/>
      <c r="G10" s="496"/>
      <c r="H10" s="496"/>
      <c r="I10" s="276"/>
      <c r="J10" s="496"/>
      <c r="K10" s="496"/>
      <c r="L10" s="275"/>
      <c r="M10" s="275">
        <v>225000</v>
      </c>
      <c r="N10" s="275"/>
      <c r="O10" s="496">
        <v>1486836</v>
      </c>
      <c r="P10" s="497">
        <v>154175.212410804</v>
      </c>
      <c r="Q10" s="497"/>
      <c r="R10" s="427"/>
      <c r="S10" s="427">
        <v>0</v>
      </c>
      <c r="T10" s="497">
        <v>0</v>
      </c>
      <c r="U10" s="497"/>
      <c r="V10" s="427"/>
      <c r="W10" s="497"/>
      <c r="X10" s="427"/>
      <c r="Y10" s="390">
        <f>(O10*3412/10^6)+S10+U10+W10</f>
        <v>5073.0844319999997</v>
      </c>
      <c r="Z10" s="16">
        <f t="shared" si="0"/>
        <v>154175.212410804</v>
      </c>
      <c r="AA10" s="427">
        <v>0</v>
      </c>
      <c r="AB10" s="497">
        <v>0</v>
      </c>
      <c r="AC10" s="497">
        <v>52326.44999999999</v>
      </c>
      <c r="AD10" s="278"/>
      <c r="AE10" s="139">
        <f t="shared" si="1"/>
        <v>206501.66241080398</v>
      </c>
      <c r="AF10" s="139">
        <f>IF('Sch2a-Imp Price by ECM'!C11="Yes", 0, 'Sch2a-Imp Price by ECM'!L11)</f>
        <v>2100000</v>
      </c>
      <c r="AG10" s="159">
        <f t="shared" si="2"/>
        <v>10.169409657450437</v>
      </c>
    </row>
    <row r="11" spans="1:34" ht="17" thickBot="1">
      <c r="A11" s="75" t="str">
        <f>IF('Sch2a-Imp Price by ECM'!B12="","",'Sch2a-Imp Price by ECM'!B12)</f>
        <v>6A</v>
      </c>
      <c r="B11" s="174" t="str">
        <f>IF('Sch2a-Imp Price by ECM'!D12="","",'Sch2a-Imp Price by ECM'!D12)</f>
        <v>Upgrade Building Envelope</v>
      </c>
      <c r="C11" s="400" t="str">
        <f>IF('Sch2a-Imp Price by ECM'!G12="","",'Sch2a-Imp Price by ECM'!G12)</f>
        <v>See Table 6, PA</v>
      </c>
      <c r="D11" s="274" t="s">
        <v>332</v>
      </c>
      <c r="E11" s="496">
        <v>767800</v>
      </c>
      <c r="F11" s="496"/>
      <c r="G11" s="496">
        <v>1605</v>
      </c>
      <c r="H11" s="496"/>
      <c r="I11" s="276"/>
      <c r="J11" s="496"/>
      <c r="K11" s="496"/>
      <c r="L11" s="275"/>
      <c r="M11" s="275"/>
      <c r="N11" s="275"/>
      <c r="O11" s="496">
        <v>330408</v>
      </c>
      <c r="P11" s="497">
        <v>34261.158313512002</v>
      </c>
      <c r="Q11" s="497"/>
      <c r="R11" s="427"/>
      <c r="S11" s="427">
        <v>504</v>
      </c>
      <c r="T11" s="497">
        <v>3098.8479009600001</v>
      </c>
      <c r="U11" s="497"/>
      <c r="V11" s="427"/>
      <c r="W11" s="497"/>
      <c r="X11" s="427"/>
      <c r="Y11" s="390">
        <f t="shared" ref="Y11:Y74" si="3">(O11*3412/10^6)+S11+U11+W11</f>
        <v>1631.3520960000001</v>
      </c>
      <c r="Z11" s="16">
        <f t="shared" si="0"/>
        <v>37360.006214472</v>
      </c>
      <c r="AA11" s="427">
        <v>0</v>
      </c>
      <c r="AB11" s="497">
        <v>0</v>
      </c>
      <c r="AC11" s="497"/>
      <c r="AD11" s="278"/>
      <c r="AE11" s="139">
        <f t="shared" si="1"/>
        <v>37360.006214472</v>
      </c>
      <c r="AF11" s="139">
        <f>IF('Sch2a-Imp Price by ECM'!C12="Yes", 0, 'Sch2a-Imp Price by ECM'!L12)</f>
        <v>500000</v>
      </c>
      <c r="AG11" s="159">
        <f t="shared" si="2"/>
        <v>13.383295418358816</v>
      </c>
      <c r="AH11" s="4" t="str">
        <f>IF('Sch2a-Imp Price by ECM'!M12="","",'Sch2a-Imp Price by ECM'!M12)</f>
        <v/>
      </c>
    </row>
    <row r="12" spans="1:34" ht="17" thickBot="1">
      <c r="A12" s="75" t="str">
        <f>IF('Sch2a-Imp Price by ECM'!B13="","",'Sch2a-Imp Price by ECM'!B13)</f>
        <v>11A</v>
      </c>
      <c r="B12" s="174" t="str">
        <f>IF('Sch2a-Imp Price by ECM'!D13="","",'Sch2a-Imp Price by ECM'!D13)</f>
        <v>Renewable Energy, BESS, EVSE</v>
      </c>
      <c r="C12" s="400" t="str">
        <f>IF('Sch2a-Imp Price by ECM'!G13="","",'Sch2a-Imp Price by ECM'!G13)</f>
        <v>See Table 6, PA</v>
      </c>
      <c r="D12" s="274" t="s">
        <v>332</v>
      </c>
      <c r="E12" s="496">
        <v>15356000</v>
      </c>
      <c r="F12" s="496"/>
      <c r="G12" s="496"/>
      <c r="H12" s="496"/>
      <c r="I12" s="276"/>
      <c r="J12" s="496"/>
      <c r="K12" s="496"/>
      <c r="L12" s="275"/>
      <c r="M12" s="275"/>
      <c r="N12" s="275"/>
      <c r="O12" s="496">
        <v>2117447</v>
      </c>
      <c r="P12" s="497">
        <v>219565.46720258301</v>
      </c>
      <c r="Q12" s="497"/>
      <c r="R12" s="427"/>
      <c r="S12" s="427">
        <v>0</v>
      </c>
      <c r="T12" s="497">
        <v>0</v>
      </c>
      <c r="U12" s="497"/>
      <c r="V12" s="427"/>
      <c r="W12" s="497"/>
      <c r="X12" s="427"/>
      <c r="Y12" s="390">
        <f t="shared" si="3"/>
        <v>7224.7291640000003</v>
      </c>
      <c r="Z12" s="16">
        <f t="shared" si="0"/>
        <v>219565.46720258301</v>
      </c>
      <c r="AA12" s="427">
        <v>0</v>
      </c>
      <c r="AB12" s="497">
        <v>0</v>
      </c>
      <c r="AC12" s="497"/>
      <c r="AD12" s="413"/>
      <c r="AE12" s="139">
        <f t="shared" si="1"/>
        <v>219565.46720258301</v>
      </c>
      <c r="AF12" s="139">
        <f>IF('Sch2a-Imp Price by ECM'!C13="Yes", 0, 'Sch2a-Imp Price by ECM'!L13)</f>
        <v>7499999.9999999981</v>
      </c>
      <c r="AG12" s="159">
        <f t="shared" si="2"/>
        <v>34.158376977742549</v>
      </c>
      <c r="AH12" s="181" t="str">
        <f>IF('Sch2a-Imp Price by ECM'!M13="","",'Sch2a-Imp Price by ECM'!M13)</f>
        <v/>
      </c>
    </row>
    <row r="13" spans="1:34" ht="18" customHeight="1" thickBot="1">
      <c r="A13" s="75" t="str">
        <f>IF('Sch2a-Imp Price by ECM'!B14="","",'Sch2a-Imp Price by ECM'!B14)</f>
        <v>13A</v>
      </c>
      <c r="B13" s="174" t="str">
        <f>IF('Sch2a-Imp Price by ECM'!D14="","",'Sch2a-Imp Price by ECM'!D14)</f>
        <v>Water Improvements</v>
      </c>
      <c r="C13" s="400" t="str">
        <f>IF('Sch2a-Imp Price by ECM'!G14="","",'Sch2a-Imp Price by ECM'!G14)</f>
        <v>See Table 6, PA</v>
      </c>
      <c r="D13" s="274" t="s">
        <v>332</v>
      </c>
      <c r="E13" s="496"/>
      <c r="F13" s="496"/>
      <c r="G13" s="496">
        <v>2100</v>
      </c>
      <c r="H13" s="496">
        <v>3195</v>
      </c>
      <c r="I13" s="276"/>
      <c r="J13" s="496">
        <v>20574</v>
      </c>
      <c r="K13" s="496">
        <v>20574</v>
      </c>
      <c r="L13" s="275"/>
      <c r="M13" s="275"/>
      <c r="N13" s="275"/>
      <c r="O13" s="496"/>
      <c r="P13" s="497">
        <v>0</v>
      </c>
      <c r="Q13" s="497"/>
      <c r="R13" s="427"/>
      <c r="S13" s="427">
        <v>677</v>
      </c>
      <c r="T13" s="497">
        <v>4162.5397399800004</v>
      </c>
      <c r="U13" s="497"/>
      <c r="V13" s="427"/>
      <c r="W13" s="497"/>
      <c r="X13" s="427"/>
      <c r="Y13" s="390">
        <f t="shared" si="3"/>
        <v>677</v>
      </c>
      <c r="Z13" s="16">
        <f t="shared" si="0"/>
        <v>4162.5397399800004</v>
      </c>
      <c r="AA13" s="427">
        <v>17677</v>
      </c>
      <c r="AB13" s="497">
        <v>293296.78399999999</v>
      </c>
      <c r="AC13" s="497"/>
      <c r="AD13" s="278"/>
      <c r="AE13" s="139">
        <f t="shared" si="1"/>
        <v>297459.32373998</v>
      </c>
      <c r="AF13" s="139">
        <f>IF('Sch2a-Imp Price by ECM'!C14="Yes", 0, 'Sch2a-Imp Price by ECM'!L14)</f>
        <v>1500000</v>
      </c>
      <c r="AG13" s="159">
        <f t="shared" si="2"/>
        <v>5.0427062804432534</v>
      </c>
      <c r="AH13" s="181" t="str">
        <f>IF('Sch2a-Imp Price by ECM'!M14="","",'Sch2a-Imp Price by ECM'!M14)</f>
        <v/>
      </c>
    </row>
    <row r="14" spans="1:34" ht="18" customHeight="1" thickBot="1">
      <c r="A14" s="75" t="str">
        <f>IF('Sch2a-Imp Price by ECM'!B15="","",'Sch2a-Imp Price by ECM'!B15)</f>
        <v/>
      </c>
      <c r="B14" s="174" t="str">
        <f>IF('Sch2a-Imp Price by ECM'!D15="","",'Sch2a-Imp Price by ECM'!D15)</f>
        <v/>
      </c>
      <c r="C14" s="400" t="str">
        <f>IF('Sch2a-Imp Price by ECM'!G15="","",'Sch2a-Imp Price by ECM'!G15)</f>
        <v/>
      </c>
      <c r="D14" s="274" t="s">
        <v>606</v>
      </c>
      <c r="E14" s="285"/>
      <c r="F14" s="284"/>
      <c r="G14" s="284"/>
      <c r="H14" s="284"/>
      <c r="I14" s="276"/>
      <c r="J14" s="284"/>
      <c r="K14" s="275"/>
      <c r="L14" s="275"/>
      <c r="M14" s="275"/>
      <c r="N14" s="276"/>
      <c r="O14" s="284"/>
      <c r="P14" s="278"/>
      <c r="Q14" s="279"/>
      <c r="R14" s="275"/>
      <c r="S14" s="279"/>
      <c r="T14" s="278"/>
      <c r="U14" s="279"/>
      <c r="V14" s="278"/>
      <c r="W14" s="285"/>
      <c r="X14" s="278"/>
      <c r="Y14" s="390">
        <f t="shared" si="3"/>
        <v>0</v>
      </c>
      <c r="Z14" s="16">
        <f t="shared" ref="Z14:Z72" si="4">P14+R14+V14+X14+T14</f>
        <v>0</v>
      </c>
      <c r="AA14" s="279"/>
      <c r="AB14" s="278"/>
      <c r="AC14" s="278"/>
      <c r="AD14" s="278"/>
      <c r="AE14" s="139">
        <f t="shared" si="1"/>
        <v>0</v>
      </c>
      <c r="AF14" s="139" t="str">
        <f>IF('Sch2a-Imp Price by ECM'!C15="Yes", 0, 'Sch2a-Imp Price by ECM'!L15)</f>
        <v/>
      </c>
      <c r="AG14" s="159" t="str">
        <f t="shared" si="2"/>
        <v/>
      </c>
      <c r="AH14" s="181" t="str">
        <f>IF('Sch2a-Imp Price by ECM'!M15="","",'Sch2a-Imp Price by ECM'!M15)</f>
        <v/>
      </c>
    </row>
    <row r="15" spans="1:34" ht="17" thickBot="1">
      <c r="A15" s="75" t="str">
        <f>IF('Sch2a-Imp Price by ECM'!B16="","",'Sch2a-Imp Price by ECM'!B16)</f>
        <v/>
      </c>
      <c r="B15" s="174" t="str">
        <f>IF('Sch2a-Imp Price by ECM'!D16="","",'Sch2a-Imp Price by ECM'!D16)</f>
        <v/>
      </c>
      <c r="C15" s="400" t="str">
        <f>IF('Sch2a-Imp Price by ECM'!G16="","",'Sch2a-Imp Price by ECM'!G16)</f>
        <v/>
      </c>
      <c r="D15" s="274"/>
      <c r="E15" s="391"/>
      <c r="F15" s="391"/>
      <c r="G15" s="391"/>
      <c r="H15" s="391"/>
      <c r="I15" s="276"/>
      <c r="J15" s="391"/>
      <c r="K15" s="275"/>
      <c r="L15" s="275"/>
      <c r="M15" s="275"/>
      <c r="N15" s="276"/>
      <c r="O15" s="391"/>
      <c r="P15" s="275"/>
      <c r="Q15" s="392"/>
      <c r="R15" s="275"/>
      <c r="S15" s="279"/>
      <c r="T15" s="393"/>
      <c r="U15" s="392"/>
      <c r="V15" s="393"/>
      <c r="W15" s="394"/>
      <c r="X15" s="393"/>
      <c r="Y15" s="390">
        <f t="shared" si="3"/>
        <v>0</v>
      </c>
      <c r="Z15" s="16">
        <f t="shared" si="4"/>
        <v>0</v>
      </c>
      <c r="AA15" s="392"/>
      <c r="AB15" s="393"/>
      <c r="AC15" s="393"/>
      <c r="AD15" s="393"/>
      <c r="AE15" s="139">
        <f t="shared" si="1"/>
        <v>0</v>
      </c>
      <c r="AF15" s="139" t="str">
        <f>IF('Sch2a-Imp Price by ECM'!C16="Yes", 0, 'Sch2a-Imp Price by ECM'!L16)</f>
        <v/>
      </c>
      <c r="AG15" s="159" t="str">
        <f t="shared" si="2"/>
        <v/>
      </c>
      <c r="AH15" s="181" t="str">
        <f>IF('Sch2a-Imp Price by ECM'!M16="","",'Sch2a-Imp Price by ECM'!M16)</f>
        <v/>
      </c>
    </row>
    <row r="16" spans="1:34" ht="17" thickBot="1">
      <c r="A16" s="75" t="str">
        <f>IF('Sch2a-Imp Price by ECM'!B17="","",'Sch2a-Imp Price by ECM'!B17)</f>
        <v/>
      </c>
      <c r="B16" s="174" t="str">
        <f>IF('Sch2a-Imp Price by ECM'!D17="","",'Sch2a-Imp Price by ECM'!D17)</f>
        <v/>
      </c>
      <c r="C16" s="400" t="str">
        <f>IF('Sch2a-Imp Price by ECM'!G17="","",'Sch2a-Imp Price by ECM'!G17)</f>
        <v/>
      </c>
      <c r="D16" s="274"/>
      <c r="E16" s="391"/>
      <c r="F16" s="391"/>
      <c r="G16" s="391"/>
      <c r="H16" s="391"/>
      <c r="I16" s="276"/>
      <c r="J16" s="391"/>
      <c r="K16" s="275"/>
      <c r="L16" s="275"/>
      <c r="M16" s="275"/>
      <c r="N16" s="269"/>
      <c r="O16" s="391"/>
      <c r="P16" s="275"/>
      <c r="Q16" s="392"/>
      <c r="R16" s="275"/>
      <c r="S16" s="279"/>
      <c r="T16" s="393"/>
      <c r="U16" s="392"/>
      <c r="V16" s="393"/>
      <c r="W16" s="394"/>
      <c r="X16" s="393"/>
      <c r="Y16" s="390">
        <f t="shared" si="3"/>
        <v>0</v>
      </c>
      <c r="Z16" s="16">
        <f t="shared" si="4"/>
        <v>0</v>
      </c>
      <c r="AA16" s="392"/>
      <c r="AB16" s="393"/>
      <c r="AC16" s="393"/>
      <c r="AD16" s="393"/>
      <c r="AE16" s="139">
        <f t="shared" si="1"/>
        <v>0</v>
      </c>
      <c r="AF16" s="139" t="str">
        <f>IF('Sch2a-Imp Price by ECM'!C17="Yes", 0, 'Sch2a-Imp Price by ECM'!L17)</f>
        <v/>
      </c>
      <c r="AG16" s="159" t="str">
        <f t="shared" si="2"/>
        <v/>
      </c>
      <c r="AH16" s="181" t="str">
        <f>IF('Sch2a-Imp Price by ECM'!M17="","",'Sch2a-Imp Price by ECM'!M17)</f>
        <v/>
      </c>
    </row>
    <row r="17" spans="1:34" ht="17" thickBot="1">
      <c r="A17" s="75" t="str">
        <f>IF('Sch2a-Imp Price by ECM'!B18="","",'Sch2a-Imp Price by ECM'!B18)</f>
        <v/>
      </c>
      <c r="B17" s="174" t="str">
        <f>IF('Sch2a-Imp Price by ECM'!D18="","",'Sch2a-Imp Price by ECM'!D18)</f>
        <v/>
      </c>
      <c r="C17" s="400" t="str">
        <f>IF('Sch2a-Imp Price by ECM'!G18="","",'Sch2a-Imp Price by ECM'!G18)</f>
        <v/>
      </c>
      <c r="D17" s="274"/>
      <c r="E17" s="391"/>
      <c r="F17" s="391"/>
      <c r="G17" s="391"/>
      <c r="H17" s="391"/>
      <c r="I17" s="276"/>
      <c r="J17" s="391"/>
      <c r="K17" s="275"/>
      <c r="L17" s="275"/>
      <c r="M17" s="275"/>
      <c r="N17" s="269"/>
      <c r="O17" s="391"/>
      <c r="P17" s="275"/>
      <c r="Q17" s="392"/>
      <c r="R17" s="275"/>
      <c r="S17" s="279"/>
      <c r="T17" s="393"/>
      <c r="U17" s="392"/>
      <c r="V17" s="393"/>
      <c r="W17" s="394"/>
      <c r="X17" s="393"/>
      <c r="Y17" s="390">
        <f t="shared" si="3"/>
        <v>0</v>
      </c>
      <c r="Z17" s="16">
        <f t="shared" si="4"/>
        <v>0</v>
      </c>
      <c r="AA17" s="392"/>
      <c r="AB17" s="393"/>
      <c r="AC17" s="393"/>
      <c r="AD17" s="393"/>
      <c r="AE17" s="139">
        <f t="shared" si="1"/>
        <v>0</v>
      </c>
      <c r="AF17" s="139" t="str">
        <f>IF('Sch2a-Imp Price by ECM'!C18="Yes", 0, 'Sch2a-Imp Price by ECM'!L18)</f>
        <v/>
      </c>
      <c r="AG17" s="159" t="str">
        <f t="shared" si="2"/>
        <v/>
      </c>
      <c r="AH17" s="181" t="str">
        <f>IF('Sch2a-Imp Price by ECM'!M18="","",'Sch2a-Imp Price by ECM'!M18)</f>
        <v/>
      </c>
    </row>
    <row r="18" spans="1:34" ht="17" thickBot="1">
      <c r="A18" s="75" t="str">
        <f>IF('Sch2a-Imp Price by ECM'!B19="","",'Sch2a-Imp Price by ECM'!B19)</f>
        <v/>
      </c>
      <c r="B18" s="174" t="str">
        <f>IF('Sch2a-Imp Price by ECM'!D19="","",'Sch2a-Imp Price by ECM'!D19)</f>
        <v/>
      </c>
      <c r="C18" s="400" t="str">
        <f>IF('Sch2a-Imp Price by ECM'!G19="","",'Sch2a-Imp Price by ECM'!G19)</f>
        <v/>
      </c>
      <c r="D18" s="274"/>
      <c r="E18" s="391"/>
      <c r="F18" s="391"/>
      <c r="G18" s="391"/>
      <c r="H18" s="391"/>
      <c r="I18" s="276"/>
      <c r="J18" s="391"/>
      <c r="K18" s="275"/>
      <c r="L18" s="275"/>
      <c r="M18" s="275"/>
      <c r="N18" s="269"/>
      <c r="O18" s="391"/>
      <c r="P18" s="275"/>
      <c r="Q18" s="392"/>
      <c r="R18" s="275"/>
      <c r="S18" s="392"/>
      <c r="T18" s="393"/>
      <c r="U18" s="392"/>
      <c r="V18" s="393"/>
      <c r="W18" s="394"/>
      <c r="X18" s="393"/>
      <c r="Y18" s="390">
        <f t="shared" si="3"/>
        <v>0</v>
      </c>
      <c r="Z18" s="16">
        <f t="shared" si="4"/>
        <v>0</v>
      </c>
      <c r="AA18" s="392"/>
      <c r="AB18" s="393"/>
      <c r="AC18" s="393"/>
      <c r="AD18" s="393"/>
      <c r="AE18" s="139">
        <f t="shared" si="1"/>
        <v>0</v>
      </c>
      <c r="AF18" s="139" t="str">
        <f>IF('Sch2a-Imp Price by ECM'!C19="Yes", 0, 'Sch2a-Imp Price by ECM'!L19)</f>
        <v/>
      </c>
      <c r="AG18" s="159" t="str">
        <f t="shared" si="2"/>
        <v/>
      </c>
      <c r="AH18" s="181" t="str">
        <f>IF('Sch2a-Imp Price by ECM'!M19="","",'Sch2a-Imp Price by ECM'!M19)</f>
        <v/>
      </c>
    </row>
    <row r="19" spans="1:34" ht="17" thickBot="1">
      <c r="A19" s="75" t="str">
        <f>IF('Sch2a-Imp Price by ECM'!B20="","",'Sch2a-Imp Price by ECM'!B20)</f>
        <v/>
      </c>
      <c r="B19" s="174" t="str">
        <f>IF('Sch2a-Imp Price by ECM'!D20="","",'Sch2a-Imp Price by ECM'!D20)</f>
        <v/>
      </c>
      <c r="C19" s="400" t="str">
        <f>IF('Sch2a-Imp Price by ECM'!G20="","",'Sch2a-Imp Price by ECM'!G20)</f>
        <v/>
      </c>
      <c r="D19" s="274"/>
      <c r="E19" s="391"/>
      <c r="F19" s="391"/>
      <c r="G19" s="391"/>
      <c r="H19" s="391"/>
      <c r="I19" s="276"/>
      <c r="J19" s="391"/>
      <c r="K19" s="275"/>
      <c r="L19" s="275"/>
      <c r="M19" s="275"/>
      <c r="N19" s="269"/>
      <c r="O19" s="391"/>
      <c r="P19" s="276"/>
      <c r="Q19" s="392"/>
      <c r="R19" s="275"/>
      <c r="S19" s="392"/>
      <c r="T19" s="393"/>
      <c r="U19" s="392"/>
      <c r="V19" s="393"/>
      <c r="W19" s="394"/>
      <c r="X19" s="393"/>
      <c r="Y19" s="390">
        <f t="shared" si="3"/>
        <v>0</v>
      </c>
      <c r="Z19" s="16">
        <f t="shared" si="4"/>
        <v>0</v>
      </c>
      <c r="AA19" s="392"/>
      <c r="AB19" s="393"/>
      <c r="AC19" s="393"/>
      <c r="AD19" s="393"/>
      <c r="AE19" s="139">
        <f t="shared" si="1"/>
        <v>0</v>
      </c>
      <c r="AF19" s="139" t="str">
        <f>IF('Sch2a-Imp Price by ECM'!C20="Yes", 0, 'Sch2a-Imp Price by ECM'!L20)</f>
        <v/>
      </c>
      <c r="AG19" s="159" t="str">
        <f t="shared" si="2"/>
        <v/>
      </c>
      <c r="AH19" s="181" t="str">
        <f>IF('Sch2a-Imp Price by ECM'!M20="","",'Sch2a-Imp Price by ECM'!M20)</f>
        <v/>
      </c>
    </row>
    <row r="20" spans="1:34" ht="17" thickBot="1">
      <c r="A20" s="75" t="str">
        <f>IF('Sch2a-Imp Price by ECM'!B21="","",'Sch2a-Imp Price by ECM'!B21)</f>
        <v/>
      </c>
      <c r="B20" s="174" t="str">
        <f>IF('Sch2a-Imp Price by ECM'!D21="","",'Sch2a-Imp Price by ECM'!D21)</f>
        <v/>
      </c>
      <c r="C20" s="400" t="str">
        <f>IF('Sch2a-Imp Price by ECM'!G21="","",'Sch2a-Imp Price by ECM'!G21)</f>
        <v/>
      </c>
      <c r="D20" s="274"/>
      <c r="E20" s="391"/>
      <c r="F20" s="391"/>
      <c r="G20" s="391"/>
      <c r="H20" s="391"/>
      <c r="I20" s="276"/>
      <c r="J20" s="391"/>
      <c r="K20" s="275"/>
      <c r="L20" s="275"/>
      <c r="M20" s="275"/>
      <c r="N20" s="269"/>
      <c r="O20" s="391"/>
      <c r="P20" s="275"/>
      <c r="Q20" s="392"/>
      <c r="R20" s="275"/>
      <c r="S20" s="392"/>
      <c r="T20" s="393"/>
      <c r="U20" s="392"/>
      <c r="V20" s="393"/>
      <c r="W20" s="394"/>
      <c r="X20" s="393"/>
      <c r="Y20" s="390">
        <f t="shared" si="3"/>
        <v>0</v>
      </c>
      <c r="Z20" s="16">
        <f t="shared" si="4"/>
        <v>0</v>
      </c>
      <c r="AA20" s="392"/>
      <c r="AB20" s="393"/>
      <c r="AC20" s="393"/>
      <c r="AD20" s="393"/>
      <c r="AE20" s="139">
        <f t="shared" si="1"/>
        <v>0</v>
      </c>
      <c r="AF20" s="139" t="str">
        <f>IF('Sch2a-Imp Price by ECM'!C21="Yes", 0, 'Sch2a-Imp Price by ECM'!L21)</f>
        <v/>
      </c>
      <c r="AG20" s="159" t="str">
        <f t="shared" si="2"/>
        <v/>
      </c>
      <c r="AH20" s="4" t="str">
        <f>IF('Sch2a-Imp Price by ECM'!M21="","",'Sch2a-Imp Price by ECM'!M21)</f>
        <v/>
      </c>
    </row>
    <row r="21" spans="1:34" ht="17" thickBot="1">
      <c r="A21" s="75" t="str">
        <f>IF('Sch2a-Imp Price by ECM'!B22="","",'Sch2a-Imp Price by ECM'!B22)</f>
        <v/>
      </c>
      <c r="B21" s="174" t="str">
        <f>IF('Sch2a-Imp Price by ECM'!D22="","",'Sch2a-Imp Price by ECM'!D22)</f>
        <v/>
      </c>
      <c r="C21" s="400" t="str">
        <f>IF('Sch2a-Imp Price by ECM'!G22="","",'Sch2a-Imp Price by ECM'!G22)</f>
        <v/>
      </c>
      <c r="D21" s="274"/>
      <c r="E21" s="391"/>
      <c r="F21" s="391"/>
      <c r="G21" s="391"/>
      <c r="H21" s="391"/>
      <c r="I21" s="276"/>
      <c r="J21" s="391"/>
      <c r="K21" s="275"/>
      <c r="L21" s="275"/>
      <c r="M21" s="275"/>
      <c r="N21" s="269"/>
      <c r="O21" s="391"/>
      <c r="P21" s="275"/>
      <c r="Q21" s="392"/>
      <c r="R21" s="275"/>
      <c r="S21" s="392"/>
      <c r="T21" s="393"/>
      <c r="U21" s="392"/>
      <c r="V21" s="393"/>
      <c r="W21" s="394"/>
      <c r="X21" s="393"/>
      <c r="Y21" s="390">
        <f t="shared" si="3"/>
        <v>0</v>
      </c>
      <c r="Z21" s="16">
        <f t="shared" si="4"/>
        <v>0</v>
      </c>
      <c r="AA21" s="392"/>
      <c r="AB21" s="393"/>
      <c r="AC21" s="393"/>
      <c r="AD21" s="393"/>
      <c r="AE21" s="139">
        <f t="shared" si="1"/>
        <v>0</v>
      </c>
      <c r="AF21" s="139" t="str">
        <f>IF('Sch2a-Imp Price by ECM'!C22="Yes", 0, 'Sch2a-Imp Price by ECM'!L22)</f>
        <v/>
      </c>
      <c r="AG21" s="159" t="str">
        <f t="shared" si="2"/>
        <v/>
      </c>
      <c r="AH21" s="4" t="str">
        <f>IF('Sch2a-Imp Price by ECM'!M22="","",'Sch2a-Imp Price by ECM'!M22)</f>
        <v/>
      </c>
    </row>
    <row r="22" spans="1:34" ht="17" thickBot="1">
      <c r="A22" s="75" t="str">
        <f>IF('Sch2a-Imp Price by ECM'!B23="","",'Sch2a-Imp Price by ECM'!B23)</f>
        <v/>
      </c>
      <c r="B22" s="174" t="str">
        <f>IF('Sch2a-Imp Price by ECM'!D23="","",'Sch2a-Imp Price by ECM'!D23)</f>
        <v/>
      </c>
      <c r="C22" s="400" t="str">
        <f>IF('Sch2a-Imp Price by ECM'!G23="","",'Sch2a-Imp Price by ECM'!G23)</f>
        <v/>
      </c>
      <c r="D22" s="274"/>
      <c r="E22" s="391"/>
      <c r="F22" s="391"/>
      <c r="G22" s="391"/>
      <c r="H22" s="391"/>
      <c r="I22" s="276"/>
      <c r="J22" s="391"/>
      <c r="K22" s="275"/>
      <c r="L22" s="275"/>
      <c r="M22" s="275"/>
      <c r="N22" s="269"/>
      <c r="O22" s="391"/>
      <c r="P22" s="275"/>
      <c r="Q22" s="392"/>
      <c r="R22" s="275"/>
      <c r="S22" s="392"/>
      <c r="T22" s="393"/>
      <c r="U22" s="392"/>
      <c r="V22" s="393"/>
      <c r="W22" s="394"/>
      <c r="X22" s="393"/>
      <c r="Y22" s="390">
        <f t="shared" si="3"/>
        <v>0</v>
      </c>
      <c r="Z22" s="16">
        <f t="shared" si="4"/>
        <v>0</v>
      </c>
      <c r="AA22" s="392"/>
      <c r="AB22" s="393"/>
      <c r="AC22" s="393"/>
      <c r="AD22" s="393"/>
      <c r="AE22" s="139">
        <f t="shared" si="1"/>
        <v>0</v>
      </c>
      <c r="AF22" s="139" t="str">
        <f>IF('Sch2a-Imp Price by ECM'!C23="Yes", 0, 'Sch2a-Imp Price by ECM'!L23)</f>
        <v/>
      </c>
      <c r="AG22" s="159" t="str">
        <f t="shared" si="2"/>
        <v/>
      </c>
      <c r="AH22" s="4" t="str">
        <f>IF('Sch2a-Imp Price by ECM'!M23="","",'Sch2a-Imp Price by ECM'!M23)</f>
        <v/>
      </c>
    </row>
    <row r="23" spans="1:34" ht="17" thickBot="1">
      <c r="A23" s="75" t="str">
        <f>IF('Sch2a-Imp Price by ECM'!B24="","",'Sch2a-Imp Price by ECM'!B24)</f>
        <v/>
      </c>
      <c r="B23" s="174" t="str">
        <f>IF('Sch2a-Imp Price by ECM'!D24="","",'Sch2a-Imp Price by ECM'!D24)</f>
        <v/>
      </c>
      <c r="C23" s="400" t="str">
        <f>IF('Sch2a-Imp Price by ECM'!G24="","",'Sch2a-Imp Price by ECM'!G24)</f>
        <v/>
      </c>
      <c r="D23" s="274"/>
      <c r="E23" s="391"/>
      <c r="F23" s="391"/>
      <c r="G23" s="391"/>
      <c r="H23" s="391"/>
      <c r="I23" s="276"/>
      <c r="J23" s="391"/>
      <c r="K23" s="275"/>
      <c r="L23" s="275"/>
      <c r="M23" s="275"/>
      <c r="N23" s="269"/>
      <c r="O23" s="391"/>
      <c r="P23" s="275"/>
      <c r="Q23" s="392"/>
      <c r="R23" s="275"/>
      <c r="S23" s="392"/>
      <c r="T23" s="393"/>
      <c r="U23" s="392"/>
      <c r="V23" s="393"/>
      <c r="W23" s="394"/>
      <c r="X23" s="393"/>
      <c r="Y23" s="390">
        <f t="shared" si="3"/>
        <v>0</v>
      </c>
      <c r="Z23" s="16">
        <f t="shared" si="4"/>
        <v>0</v>
      </c>
      <c r="AA23" s="392"/>
      <c r="AB23" s="393"/>
      <c r="AC23" s="393"/>
      <c r="AD23" s="393"/>
      <c r="AE23" s="139">
        <f t="shared" si="1"/>
        <v>0</v>
      </c>
      <c r="AF23" s="139" t="str">
        <f>IF('Sch2a-Imp Price by ECM'!C24="Yes", 0, 'Sch2a-Imp Price by ECM'!L24)</f>
        <v/>
      </c>
      <c r="AG23" s="159" t="str">
        <f t="shared" si="2"/>
        <v/>
      </c>
      <c r="AH23" s="4" t="str">
        <f>IF('Sch2a-Imp Price by ECM'!M24="","",'Sch2a-Imp Price by ECM'!M24)</f>
        <v/>
      </c>
    </row>
    <row r="24" spans="1:34" ht="17" thickBot="1">
      <c r="A24" s="75" t="str">
        <f>IF('Sch2a-Imp Price by ECM'!B25="","",'Sch2a-Imp Price by ECM'!B25)</f>
        <v/>
      </c>
      <c r="B24" s="174" t="str">
        <f>IF('Sch2a-Imp Price by ECM'!D25="","",'Sch2a-Imp Price by ECM'!D25)</f>
        <v/>
      </c>
      <c r="C24" s="400" t="str">
        <f>IF('Sch2a-Imp Price by ECM'!G25="","",'Sch2a-Imp Price by ECM'!G25)</f>
        <v/>
      </c>
      <c r="D24" s="274"/>
      <c r="E24" s="391"/>
      <c r="F24" s="391"/>
      <c r="G24" s="391"/>
      <c r="H24" s="391"/>
      <c r="I24" s="276"/>
      <c r="J24" s="391"/>
      <c r="K24" s="275"/>
      <c r="L24" s="275"/>
      <c r="M24" s="275"/>
      <c r="N24" s="269"/>
      <c r="O24" s="391"/>
      <c r="P24" s="275"/>
      <c r="Q24" s="392"/>
      <c r="R24" s="275"/>
      <c r="S24" s="392"/>
      <c r="T24" s="393"/>
      <c r="U24" s="392"/>
      <c r="V24" s="393"/>
      <c r="W24" s="394"/>
      <c r="X24" s="393"/>
      <c r="Y24" s="390">
        <f t="shared" si="3"/>
        <v>0</v>
      </c>
      <c r="Z24" s="16">
        <f t="shared" si="4"/>
        <v>0</v>
      </c>
      <c r="AA24" s="392"/>
      <c r="AB24" s="393"/>
      <c r="AC24" s="393"/>
      <c r="AD24" s="393"/>
      <c r="AE24" s="139">
        <f t="shared" si="1"/>
        <v>0</v>
      </c>
      <c r="AF24" s="139" t="str">
        <f>IF('Sch2a-Imp Price by ECM'!C25="Yes", 0, 'Sch2a-Imp Price by ECM'!L25)</f>
        <v/>
      </c>
      <c r="AG24" s="159" t="str">
        <f t="shared" si="2"/>
        <v/>
      </c>
      <c r="AH24" s="4" t="str">
        <f>IF('Sch2a-Imp Price by ECM'!M25="","",'Sch2a-Imp Price by ECM'!M25)</f>
        <v/>
      </c>
    </row>
    <row r="25" spans="1:34" ht="17" thickBot="1">
      <c r="A25" s="75" t="str">
        <f>IF('Sch2a-Imp Price by ECM'!B26="","",'Sch2a-Imp Price by ECM'!B26)</f>
        <v/>
      </c>
      <c r="B25" s="174" t="str">
        <f>IF('Sch2a-Imp Price by ECM'!D26="","",'Sch2a-Imp Price by ECM'!D26)</f>
        <v/>
      </c>
      <c r="C25" s="400" t="str">
        <f>IF('Sch2a-Imp Price by ECM'!G26="","",'Sch2a-Imp Price by ECM'!G26)</f>
        <v/>
      </c>
      <c r="D25" s="274"/>
      <c r="E25" s="391"/>
      <c r="F25" s="391"/>
      <c r="G25" s="391"/>
      <c r="H25" s="391"/>
      <c r="I25" s="276"/>
      <c r="J25" s="391"/>
      <c r="K25" s="275"/>
      <c r="L25" s="275"/>
      <c r="M25" s="275"/>
      <c r="N25" s="269"/>
      <c r="O25" s="391"/>
      <c r="P25" s="275"/>
      <c r="Q25" s="392"/>
      <c r="R25" s="275"/>
      <c r="S25" s="392"/>
      <c r="T25" s="393"/>
      <c r="U25" s="392"/>
      <c r="V25" s="393"/>
      <c r="W25" s="394"/>
      <c r="X25" s="393"/>
      <c r="Y25" s="390">
        <f t="shared" si="3"/>
        <v>0</v>
      </c>
      <c r="Z25" s="16">
        <f t="shared" si="4"/>
        <v>0</v>
      </c>
      <c r="AA25" s="392"/>
      <c r="AB25" s="393"/>
      <c r="AC25" s="393"/>
      <c r="AD25" s="393"/>
      <c r="AE25" s="139">
        <f t="shared" si="1"/>
        <v>0</v>
      </c>
      <c r="AF25" s="139" t="str">
        <f>IF('Sch2a-Imp Price by ECM'!C26="Yes", 0, 'Sch2a-Imp Price by ECM'!L26)</f>
        <v/>
      </c>
      <c r="AG25" s="159" t="str">
        <f t="shared" si="2"/>
        <v/>
      </c>
      <c r="AH25" s="4" t="str">
        <f>IF('Sch2a-Imp Price by ECM'!M26="","",'Sch2a-Imp Price by ECM'!M26)</f>
        <v/>
      </c>
    </row>
    <row r="26" spans="1:34" ht="17" thickBot="1">
      <c r="A26" s="75" t="str">
        <f>IF('Sch2a-Imp Price by ECM'!B27="","",'Sch2a-Imp Price by ECM'!B27)</f>
        <v/>
      </c>
      <c r="B26" s="174" t="str">
        <f>IF('Sch2a-Imp Price by ECM'!D27="","",'Sch2a-Imp Price by ECM'!D27)</f>
        <v/>
      </c>
      <c r="C26" s="400" t="str">
        <f>IF('Sch2a-Imp Price by ECM'!G27="","",'Sch2a-Imp Price by ECM'!G27)</f>
        <v/>
      </c>
      <c r="D26" s="274"/>
      <c r="E26" s="391"/>
      <c r="F26" s="391"/>
      <c r="G26" s="391"/>
      <c r="H26" s="391"/>
      <c r="I26" s="276"/>
      <c r="J26" s="391"/>
      <c r="K26" s="275"/>
      <c r="L26" s="275"/>
      <c r="M26" s="275"/>
      <c r="N26" s="269"/>
      <c r="O26" s="391"/>
      <c r="P26" s="275"/>
      <c r="Q26" s="392"/>
      <c r="R26" s="275"/>
      <c r="S26" s="392"/>
      <c r="T26" s="393"/>
      <c r="U26" s="392"/>
      <c r="V26" s="393"/>
      <c r="W26" s="394"/>
      <c r="X26" s="393"/>
      <c r="Y26" s="390">
        <f t="shared" si="3"/>
        <v>0</v>
      </c>
      <c r="Z26" s="16">
        <f t="shared" si="4"/>
        <v>0</v>
      </c>
      <c r="AA26" s="392"/>
      <c r="AB26" s="393"/>
      <c r="AC26" s="393"/>
      <c r="AD26" s="393"/>
      <c r="AE26" s="139">
        <f t="shared" si="1"/>
        <v>0</v>
      </c>
      <c r="AF26" s="139" t="str">
        <f>IF('Sch2a-Imp Price by ECM'!C27="Yes", 0, 'Sch2a-Imp Price by ECM'!L27)</f>
        <v/>
      </c>
      <c r="AG26" s="159" t="str">
        <f t="shared" si="2"/>
        <v/>
      </c>
      <c r="AH26" s="4" t="str">
        <f>IF('Sch2a-Imp Price by ECM'!M27="","",'Sch2a-Imp Price by ECM'!M27)</f>
        <v/>
      </c>
    </row>
    <row r="27" spans="1:34" ht="17" thickBot="1">
      <c r="A27" s="75" t="str">
        <f>IF('Sch2a-Imp Price by ECM'!B28="","",'Sch2a-Imp Price by ECM'!B28)</f>
        <v/>
      </c>
      <c r="B27" s="174" t="str">
        <f>IF('Sch2a-Imp Price by ECM'!D28="","",'Sch2a-Imp Price by ECM'!D28)</f>
        <v/>
      </c>
      <c r="C27" s="400" t="str">
        <f>IF('Sch2a-Imp Price by ECM'!G28="","",'Sch2a-Imp Price by ECM'!G28)</f>
        <v/>
      </c>
      <c r="D27" s="274"/>
      <c r="E27" s="391"/>
      <c r="F27" s="391"/>
      <c r="G27" s="391"/>
      <c r="H27" s="391"/>
      <c r="I27" s="276"/>
      <c r="J27" s="391"/>
      <c r="K27" s="275"/>
      <c r="L27" s="275"/>
      <c r="M27" s="275"/>
      <c r="N27" s="269"/>
      <c r="O27" s="391"/>
      <c r="P27" s="275"/>
      <c r="Q27" s="392"/>
      <c r="R27" s="275"/>
      <c r="S27" s="392"/>
      <c r="T27" s="393"/>
      <c r="U27" s="392"/>
      <c r="V27" s="393"/>
      <c r="W27" s="394"/>
      <c r="X27" s="393"/>
      <c r="Y27" s="390">
        <f t="shared" si="3"/>
        <v>0</v>
      </c>
      <c r="Z27" s="16">
        <f t="shared" si="4"/>
        <v>0</v>
      </c>
      <c r="AA27" s="392"/>
      <c r="AB27" s="393"/>
      <c r="AC27" s="393"/>
      <c r="AD27" s="393"/>
      <c r="AE27" s="139">
        <f t="shared" si="1"/>
        <v>0</v>
      </c>
      <c r="AF27" s="139" t="str">
        <f>IF('Sch2a-Imp Price by ECM'!C28="Yes", 0, 'Sch2a-Imp Price by ECM'!L28)</f>
        <v/>
      </c>
      <c r="AG27" s="159" t="str">
        <f t="shared" si="2"/>
        <v/>
      </c>
      <c r="AH27" s="4" t="str">
        <f>IF('Sch2a-Imp Price by ECM'!M28="","",'Sch2a-Imp Price by ECM'!M28)</f>
        <v/>
      </c>
    </row>
    <row r="28" spans="1:34" ht="17" thickBot="1">
      <c r="A28" s="75" t="str">
        <f>IF('Sch2a-Imp Price by ECM'!B29="","",'Sch2a-Imp Price by ECM'!B29)</f>
        <v/>
      </c>
      <c r="B28" s="174" t="str">
        <f>IF('Sch2a-Imp Price by ECM'!D29="","",'Sch2a-Imp Price by ECM'!D29)</f>
        <v/>
      </c>
      <c r="C28" s="400" t="str">
        <f>IF('Sch2a-Imp Price by ECM'!G29="","",'Sch2a-Imp Price by ECM'!G29)</f>
        <v/>
      </c>
      <c r="D28" s="274"/>
      <c r="E28" s="391"/>
      <c r="F28" s="391"/>
      <c r="G28" s="391"/>
      <c r="H28" s="391"/>
      <c r="I28" s="276"/>
      <c r="J28" s="391"/>
      <c r="K28" s="275"/>
      <c r="L28" s="275"/>
      <c r="M28" s="275"/>
      <c r="N28" s="269"/>
      <c r="O28" s="391"/>
      <c r="P28" s="275"/>
      <c r="Q28" s="392"/>
      <c r="R28" s="275"/>
      <c r="S28" s="392"/>
      <c r="T28" s="393"/>
      <c r="U28" s="392"/>
      <c r="V28" s="393"/>
      <c r="W28" s="394"/>
      <c r="X28" s="393"/>
      <c r="Y28" s="390">
        <f t="shared" si="3"/>
        <v>0</v>
      </c>
      <c r="Z28" s="16">
        <f t="shared" si="4"/>
        <v>0</v>
      </c>
      <c r="AA28" s="392"/>
      <c r="AB28" s="393"/>
      <c r="AC28" s="393"/>
      <c r="AD28" s="393"/>
      <c r="AE28" s="139">
        <f t="shared" si="1"/>
        <v>0</v>
      </c>
      <c r="AF28" s="139" t="str">
        <f>IF('Sch2a-Imp Price by ECM'!C29="Yes", 0, 'Sch2a-Imp Price by ECM'!L29)</f>
        <v/>
      </c>
      <c r="AG28" s="159" t="str">
        <f t="shared" si="2"/>
        <v/>
      </c>
      <c r="AH28" s="4" t="str">
        <f>IF('Sch2a-Imp Price by ECM'!M29="","",'Sch2a-Imp Price by ECM'!M29)</f>
        <v/>
      </c>
    </row>
    <row r="29" spans="1:34" ht="17" thickBot="1">
      <c r="A29" s="75" t="str">
        <f>IF('Sch2a-Imp Price by ECM'!B30="","",'Sch2a-Imp Price by ECM'!B30)</f>
        <v/>
      </c>
      <c r="B29" s="174" t="str">
        <f>IF('Sch2a-Imp Price by ECM'!D30="","",'Sch2a-Imp Price by ECM'!D30)</f>
        <v/>
      </c>
      <c r="C29" s="400" t="str">
        <f>IF('Sch2a-Imp Price by ECM'!G30="","",'Sch2a-Imp Price by ECM'!G30)</f>
        <v/>
      </c>
      <c r="D29" s="274"/>
      <c r="E29" s="391"/>
      <c r="F29" s="391"/>
      <c r="G29" s="391"/>
      <c r="H29" s="391"/>
      <c r="I29" s="276"/>
      <c r="J29" s="391"/>
      <c r="K29" s="275"/>
      <c r="L29" s="275"/>
      <c r="M29" s="275"/>
      <c r="N29" s="269"/>
      <c r="O29" s="391"/>
      <c r="P29" s="275"/>
      <c r="Q29" s="392"/>
      <c r="R29" s="275"/>
      <c r="S29" s="392"/>
      <c r="T29" s="393"/>
      <c r="U29" s="392"/>
      <c r="V29" s="393"/>
      <c r="W29" s="394"/>
      <c r="X29" s="393"/>
      <c r="Y29" s="390">
        <f t="shared" si="3"/>
        <v>0</v>
      </c>
      <c r="Z29" s="16">
        <f t="shared" si="4"/>
        <v>0</v>
      </c>
      <c r="AA29" s="392"/>
      <c r="AB29" s="393"/>
      <c r="AC29" s="393"/>
      <c r="AD29" s="393"/>
      <c r="AE29" s="139">
        <f t="shared" si="1"/>
        <v>0</v>
      </c>
      <c r="AF29" s="139" t="str">
        <f>IF('Sch2a-Imp Price by ECM'!C30="Yes", 0, 'Sch2a-Imp Price by ECM'!L30)</f>
        <v/>
      </c>
      <c r="AG29" s="159" t="str">
        <f t="shared" si="2"/>
        <v/>
      </c>
      <c r="AH29" s="4" t="str">
        <f>IF('Sch2a-Imp Price by ECM'!M30="","",'Sch2a-Imp Price by ECM'!M30)</f>
        <v/>
      </c>
    </row>
    <row r="30" spans="1:34" ht="17" thickBot="1">
      <c r="A30" s="75" t="str">
        <f>IF('Sch2a-Imp Price by ECM'!B31="","",'Sch2a-Imp Price by ECM'!B31)</f>
        <v/>
      </c>
      <c r="B30" s="174" t="str">
        <f>IF('Sch2a-Imp Price by ECM'!D31="","",'Sch2a-Imp Price by ECM'!D31)</f>
        <v/>
      </c>
      <c r="C30" s="400" t="str">
        <f>IF('Sch2a-Imp Price by ECM'!G31="","",'Sch2a-Imp Price by ECM'!G31)</f>
        <v/>
      </c>
      <c r="D30" s="274"/>
      <c r="E30" s="391"/>
      <c r="F30" s="391"/>
      <c r="G30" s="391"/>
      <c r="H30" s="391"/>
      <c r="I30" s="276"/>
      <c r="J30" s="391"/>
      <c r="K30" s="275"/>
      <c r="L30" s="275"/>
      <c r="M30" s="275"/>
      <c r="N30" s="276"/>
      <c r="O30" s="391"/>
      <c r="P30" s="275"/>
      <c r="Q30" s="392"/>
      <c r="R30" s="275"/>
      <c r="S30" s="392"/>
      <c r="T30" s="393"/>
      <c r="U30" s="392"/>
      <c r="V30" s="393"/>
      <c r="W30" s="394"/>
      <c r="X30" s="393"/>
      <c r="Y30" s="390">
        <f t="shared" si="3"/>
        <v>0</v>
      </c>
      <c r="Z30" s="16">
        <f t="shared" si="4"/>
        <v>0</v>
      </c>
      <c r="AA30" s="392"/>
      <c r="AB30" s="393"/>
      <c r="AC30" s="393"/>
      <c r="AD30" s="393"/>
      <c r="AE30" s="139">
        <f t="shared" si="1"/>
        <v>0</v>
      </c>
      <c r="AF30" s="139" t="str">
        <f>IF('Sch2a-Imp Price by ECM'!C31="Yes", 0, 'Sch2a-Imp Price by ECM'!L31)</f>
        <v/>
      </c>
      <c r="AG30" s="159" t="str">
        <f t="shared" si="2"/>
        <v/>
      </c>
      <c r="AH30" s="4" t="str">
        <f>IF('Sch2a-Imp Price by ECM'!M31="","",'Sch2a-Imp Price by ECM'!M31)</f>
        <v/>
      </c>
    </row>
    <row r="31" spans="1:34" ht="17" thickBot="1">
      <c r="A31" s="75" t="str">
        <f>IF('Sch2a-Imp Price by ECM'!B32="","",'Sch2a-Imp Price by ECM'!B32)</f>
        <v/>
      </c>
      <c r="B31" s="174" t="str">
        <f>IF('Sch2a-Imp Price by ECM'!D32="","",'Sch2a-Imp Price by ECM'!D32)</f>
        <v/>
      </c>
      <c r="C31" s="400" t="str">
        <f>IF('Sch2a-Imp Price by ECM'!G32="","",'Sch2a-Imp Price by ECM'!G32)</f>
        <v/>
      </c>
      <c r="D31" s="274"/>
      <c r="E31" s="391"/>
      <c r="F31" s="391"/>
      <c r="G31" s="391"/>
      <c r="H31" s="391"/>
      <c r="I31" s="276"/>
      <c r="J31" s="391"/>
      <c r="K31" s="275"/>
      <c r="L31" s="275"/>
      <c r="M31" s="275"/>
      <c r="N31" s="276"/>
      <c r="O31" s="391"/>
      <c r="P31" s="275"/>
      <c r="Q31" s="392"/>
      <c r="R31" s="275"/>
      <c r="S31" s="392"/>
      <c r="T31" s="393"/>
      <c r="U31" s="392"/>
      <c r="V31" s="393"/>
      <c r="W31" s="394"/>
      <c r="X31" s="393"/>
      <c r="Y31" s="390">
        <f t="shared" si="3"/>
        <v>0</v>
      </c>
      <c r="Z31" s="16">
        <f t="shared" si="4"/>
        <v>0</v>
      </c>
      <c r="AA31" s="392"/>
      <c r="AB31" s="393"/>
      <c r="AC31" s="393"/>
      <c r="AD31" s="393"/>
      <c r="AE31" s="139">
        <f t="shared" si="1"/>
        <v>0</v>
      </c>
      <c r="AF31" s="139" t="str">
        <f>IF('Sch2a-Imp Price by ECM'!C32="Yes", 0, 'Sch2a-Imp Price by ECM'!L32)</f>
        <v/>
      </c>
      <c r="AG31" s="159" t="str">
        <f t="shared" si="2"/>
        <v/>
      </c>
      <c r="AH31" s="4" t="str">
        <f>IF('Sch2a-Imp Price by ECM'!M32="","",'Sch2a-Imp Price by ECM'!M32)</f>
        <v/>
      </c>
    </row>
    <row r="32" spans="1:34" ht="17" thickBot="1">
      <c r="A32" s="75" t="str">
        <f>IF('Sch2a-Imp Price by ECM'!B33="","",'Sch2a-Imp Price by ECM'!B33)</f>
        <v/>
      </c>
      <c r="B32" s="174" t="str">
        <f>IF('Sch2a-Imp Price by ECM'!D33="","",'Sch2a-Imp Price by ECM'!D33)</f>
        <v/>
      </c>
      <c r="C32" s="400" t="str">
        <f>IF('Sch2a-Imp Price by ECM'!G33="","",'Sch2a-Imp Price by ECM'!G33)</f>
        <v/>
      </c>
      <c r="D32" s="274"/>
      <c r="E32" s="391"/>
      <c r="F32" s="391"/>
      <c r="G32" s="391"/>
      <c r="H32" s="391"/>
      <c r="I32" s="276"/>
      <c r="J32" s="391"/>
      <c r="K32" s="275"/>
      <c r="L32" s="275"/>
      <c r="M32" s="275"/>
      <c r="N32" s="276"/>
      <c r="O32" s="391"/>
      <c r="P32" s="275"/>
      <c r="Q32" s="392"/>
      <c r="R32" s="275"/>
      <c r="S32" s="392"/>
      <c r="T32" s="393"/>
      <c r="U32" s="392"/>
      <c r="V32" s="393"/>
      <c r="W32" s="394"/>
      <c r="X32" s="393"/>
      <c r="Y32" s="390">
        <f t="shared" si="3"/>
        <v>0</v>
      </c>
      <c r="Z32" s="16">
        <f t="shared" si="4"/>
        <v>0</v>
      </c>
      <c r="AA32" s="392"/>
      <c r="AB32" s="393"/>
      <c r="AC32" s="393"/>
      <c r="AD32" s="393"/>
      <c r="AE32" s="139">
        <f t="shared" si="1"/>
        <v>0</v>
      </c>
      <c r="AF32" s="139" t="str">
        <f>IF('Sch2a-Imp Price by ECM'!C33="Yes", 0, 'Sch2a-Imp Price by ECM'!L33)</f>
        <v/>
      </c>
      <c r="AG32" s="159" t="str">
        <f t="shared" si="2"/>
        <v/>
      </c>
      <c r="AH32" s="4" t="str">
        <f>IF('Sch2a-Imp Price by ECM'!M33="","",'Sch2a-Imp Price by ECM'!M33)</f>
        <v/>
      </c>
    </row>
    <row r="33" spans="1:34" ht="17" thickBot="1">
      <c r="A33" s="75" t="str">
        <f>IF('Sch2a-Imp Price by ECM'!B34="","",'Sch2a-Imp Price by ECM'!B34)</f>
        <v/>
      </c>
      <c r="B33" s="174" t="str">
        <f>IF('Sch2a-Imp Price by ECM'!D34="","",'Sch2a-Imp Price by ECM'!D34)</f>
        <v/>
      </c>
      <c r="C33" s="400" t="str">
        <f>IF('Sch2a-Imp Price by ECM'!G34="","",'Sch2a-Imp Price by ECM'!G34)</f>
        <v/>
      </c>
      <c r="D33" s="274"/>
      <c r="E33" s="391"/>
      <c r="F33" s="391"/>
      <c r="G33" s="391"/>
      <c r="H33" s="391"/>
      <c r="I33" s="276"/>
      <c r="J33" s="391"/>
      <c r="K33" s="275"/>
      <c r="L33" s="275"/>
      <c r="M33" s="275"/>
      <c r="N33" s="276"/>
      <c r="O33" s="391"/>
      <c r="P33" s="275"/>
      <c r="Q33" s="392"/>
      <c r="R33" s="275"/>
      <c r="S33" s="392"/>
      <c r="T33" s="393"/>
      <c r="U33" s="392"/>
      <c r="V33" s="393"/>
      <c r="W33" s="394"/>
      <c r="X33" s="393"/>
      <c r="Y33" s="390">
        <f t="shared" si="3"/>
        <v>0</v>
      </c>
      <c r="Z33" s="16">
        <f t="shared" si="4"/>
        <v>0</v>
      </c>
      <c r="AA33" s="392"/>
      <c r="AB33" s="393"/>
      <c r="AC33" s="393"/>
      <c r="AD33" s="393"/>
      <c r="AE33" s="139">
        <f t="shared" si="1"/>
        <v>0</v>
      </c>
      <c r="AF33" s="139" t="str">
        <f>IF('Sch2a-Imp Price by ECM'!C34="Yes", 0, 'Sch2a-Imp Price by ECM'!L34)</f>
        <v/>
      </c>
      <c r="AG33" s="159" t="str">
        <f t="shared" si="2"/>
        <v/>
      </c>
      <c r="AH33" s="4" t="str">
        <f>IF('Sch2a-Imp Price by ECM'!M34="","",'Sch2a-Imp Price by ECM'!M34)</f>
        <v/>
      </c>
    </row>
    <row r="34" spans="1:34" ht="18" customHeight="1" thickBot="1">
      <c r="A34" s="75" t="str">
        <f>IF('Sch2a-Imp Price by ECM'!B35="","",'Sch2a-Imp Price by ECM'!B35)</f>
        <v/>
      </c>
      <c r="B34" s="174" t="str">
        <f>IF('Sch2a-Imp Price by ECM'!D35="","",'Sch2a-Imp Price by ECM'!D35)</f>
        <v/>
      </c>
      <c r="C34" s="400" t="str">
        <f>IF('Sch2a-Imp Price by ECM'!G35="","",'Sch2a-Imp Price by ECM'!G35)</f>
        <v/>
      </c>
      <c r="D34" s="274"/>
      <c r="E34" s="391"/>
      <c r="F34" s="391"/>
      <c r="G34" s="391"/>
      <c r="H34" s="391"/>
      <c r="I34" s="276"/>
      <c r="J34" s="391"/>
      <c r="K34" s="275"/>
      <c r="L34" s="275"/>
      <c r="M34" s="275"/>
      <c r="N34" s="276"/>
      <c r="O34" s="391"/>
      <c r="P34" s="275"/>
      <c r="Q34" s="392"/>
      <c r="R34" s="275"/>
      <c r="S34" s="392"/>
      <c r="T34" s="393"/>
      <c r="U34" s="392"/>
      <c r="V34" s="393"/>
      <c r="W34" s="394"/>
      <c r="X34" s="393"/>
      <c r="Y34" s="390">
        <f t="shared" si="3"/>
        <v>0</v>
      </c>
      <c r="Z34" s="16">
        <f t="shared" si="4"/>
        <v>0</v>
      </c>
      <c r="AA34" s="392"/>
      <c r="AB34" s="393"/>
      <c r="AC34" s="393"/>
      <c r="AD34" s="393"/>
      <c r="AE34" s="139">
        <f t="shared" si="1"/>
        <v>0</v>
      </c>
      <c r="AF34" s="139" t="str">
        <f>IF('Sch2a-Imp Price by ECM'!C35="Yes", 0, 'Sch2a-Imp Price by ECM'!L35)</f>
        <v/>
      </c>
      <c r="AG34" s="159" t="str">
        <f t="shared" si="2"/>
        <v/>
      </c>
      <c r="AH34" s="4" t="str">
        <f>IF('Sch2a-Imp Price by ECM'!M35="","",'Sch2a-Imp Price by ECM'!M35)</f>
        <v/>
      </c>
    </row>
    <row r="35" spans="1:34" ht="17" thickBot="1">
      <c r="A35" s="75" t="str">
        <f>IF('Sch2a-Imp Price by ECM'!B36="","",'Sch2a-Imp Price by ECM'!B36)</f>
        <v/>
      </c>
      <c r="B35" s="174" t="str">
        <f>IF('Sch2a-Imp Price by ECM'!D36="","",'Sch2a-Imp Price by ECM'!D36)</f>
        <v/>
      </c>
      <c r="C35" s="400" t="str">
        <f>IF('Sch2a-Imp Price by ECM'!G36="","",'Sch2a-Imp Price by ECM'!G36)</f>
        <v/>
      </c>
      <c r="D35" s="274"/>
      <c r="E35" s="391"/>
      <c r="F35" s="391"/>
      <c r="G35" s="391"/>
      <c r="H35" s="391"/>
      <c r="I35" s="276"/>
      <c r="J35" s="391"/>
      <c r="K35" s="275"/>
      <c r="L35" s="275"/>
      <c r="M35" s="275"/>
      <c r="N35" s="276"/>
      <c r="O35" s="391"/>
      <c r="P35" s="275"/>
      <c r="Q35" s="392"/>
      <c r="R35" s="275"/>
      <c r="S35" s="392"/>
      <c r="T35" s="393"/>
      <c r="U35" s="392"/>
      <c r="V35" s="393"/>
      <c r="W35" s="394"/>
      <c r="X35" s="393"/>
      <c r="Y35" s="390">
        <f t="shared" si="3"/>
        <v>0</v>
      </c>
      <c r="Z35" s="16">
        <f t="shared" si="4"/>
        <v>0</v>
      </c>
      <c r="AA35" s="392"/>
      <c r="AB35" s="393"/>
      <c r="AC35" s="393"/>
      <c r="AD35" s="393"/>
      <c r="AE35" s="139">
        <f t="shared" si="1"/>
        <v>0</v>
      </c>
      <c r="AF35" s="139" t="str">
        <f>IF('Sch2a-Imp Price by ECM'!C36="Yes", 0, 'Sch2a-Imp Price by ECM'!L36)</f>
        <v/>
      </c>
      <c r="AG35" s="159" t="str">
        <f t="shared" si="2"/>
        <v/>
      </c>
      <c r="AH35" s="4" t="str">
        <f>IF('Sch2a-Imp Price by ECM'!M36="","",'Sch2a-Imp Price by ECM'!M36)</f>
        <v/>
      </c>
    </row>
    <row r="36" spans="1:34" ht="17" thickBot="1">
      <c r="A36" s="75" t="str">
        <f>IF('Sch2a-Imp Price by ECM'!B37="","",'Sch2a-Imp Price by ECM'!B37)</f>
        <v/>
      </c>
      <c r="B36" s="174" t="str">
        <f>IF('Sch2a-Imp Price by ECM'!D37="","",'Sch2a-Imp Price by ECM'!D37)</f>
        <v/>
      </c>
      <c r="C36" s="400" t="str">
        <f>IF('Sch2a-Imp Price by ECM'!G37="","",'Sch2a-Imp Price by ECM'!G37)</f>
        <v/>
      </c>
      <c r="D36" s="274"/>
      <c r="E36" s="391"/>
      <c r="F36" s="391"/>
      <c r="G36" s="391"/>
      <c r="H36" s="391"/>
      <c r="I36" s="276"/>
      <c r="J36" s="391"/>
      <c r="K36" s="275"/>
      <c r="L36" s="275"/>
      <c r="M36" s="275"/>
      <c r="N36" s="276"/>
      <c r="O36" s="391"/>
      <c r="P36" s="275"/>
      <c r="Q36" s="392"/>
      <c r="R36" s="275"/>
      <c r="S36" s="392"/>
      <c r="T36" s="393"/>
      <c r="U36" s="392"/>
      <c r="V36" s="393"/>
      <c r="W36" s="394"/>
      <c r="X36" s="393"/>
      <c r="Y36" s="390">
        <f t="shared" si="3"/>
        <v>0</v>
      </c>
      <c r="Z36" s="16">
        <f t="shared" si="4"/>
        <v>0</v>
      </c>
      <c r="AA36" s="392"/>
      <c r="AB36" s="393"/>
      <c r="AC36" s="393"/>
      <c r="AD36" s="393"/>
      <c r="AE36" s="139">
        <f t="shared" si="1"/>
        <v>0</v>
      </c>
      <c r="AF36" s="139" t="str">
        <f>IF('Sch2a-Imp Price by ECM'!C37="Yes", 0, 'Sch2a-Imp Price by ECM'!L37)</f>
        <v/>
      </c>
      <c r="AG36" s="159" t="str">
        <f t="shared" si="2"/>
        <v/>
      </c>
      <c r="AH36" s="4" t="str">
        <f>IF('Sch2a-Imp Price by ECM'!M37="","",'Sch2a-Imp Price by ECM'!M37)</f>
        <v/>
      </c>
    </row>
    <row r="37" spans="1:34" ht="17" thickBot="1">
      <c r="A37" s="75" t="str">
        <f>IF('Sch2a-Imp Price by ECM'!B38="","",'Sch2a-Imp Price by ECM'!B38)</f>
        <v/>
      </c>
      <c r="B37" s="174" t="str">
        <f>IF('Sch2a-Imp Price by ECM'!D38="","",'Sch2a-Imp Price by ECM'!D38)</f>
        <v/>
      </c>
      <c r="C37" s="400" t="str">
        <f>IF('Sch2a-Imp Price by ECM'!G38="","",'Sch2a-Imp Price by ECM'!G38)</f>
        <v/>
      </c>
      <c r="D37" s="274"/>
      <c r="E37" s="391"/>
      <c r="F37" s="391"/>
      <c r="G37" s="391"/>
      <c r="H37" s="391"/>
      <c r="I37" s="276"/>
      <c r="J37" s="391"/>
      <c r="K37" s="275"/>
      <c r="L37" s="275"/>
      <c r="M37" s="275"/>
      <c r="N37" s="269"/>
      <c r="O37" s="391"/>
      <c r="P37" s="275"/>
      <c r="Q37" s="392"/>
      <c r="R37" s="275"/>
      <c r="S37" s="392"/>
      <c r="T37" s="393"/>
      <c r="U37" s="392"/>
      <c r="V37" s="393"/>
      <c r="W37" s="394"/>
      <c r="X37" s="393"/>
      <c r="Y37" s="390">
        <f t="shared" si="3"/>
        <v>0</v>
      </c>
      <c r="Z37" s="16">
        <f t="shared" si="4"/>
        <v>0</v>
      </c>
      <c r="AA37" s="392"/>
      <c r="AB37" s="393"/>
      <c r="AC37" s="393"/>
      <c r="AD37" s="393"/>
      <c r="AE37" s="139">
        <f t="shared" si="1"/>
        <v>0</v>
      </c>
      <c r="AF37" s="139" t="str">
        <f>IF('Sch2a-Imp Price by ECM'!C38="Yes", 0, 'Sch2a-Imp Price by ECM'!L38)</f>
        <v/>
      </c>
      <c r="AG37" s="159" t="str">
        <f t="shared" si="2"/>
        <v/>
      </c>
      <c r="AH37" s="4" t="str">
        <f>IF('Sch2a-Imp Price by ECM'!M38="","",'Sch2a-Imp Price by ECM'!M38)</f>
        <v/>
      </c>
    </row>
    <row r="38" spans="1:34" ht="17" thickBot="1">
      <c r="A38" s="75" t="str">
        <f>IF('Sch2a-Imp Price by ECM'!B39="","",'Sch2a-Imp Price by ECM'!B39)</f>
        <v/>
      </c>
      <c r="B38" s="174" t="str">
        <f>IF('Sch2a-Imp Price by ECM'!D39="","",'Sch2a-Imp Price by ECM'!D39)</f>
        <v/>
      </c>
      <c r="C38" s="400" t="str">
        <f>IF('Sch2a-Imp Price by ECM'!G39="","",'Sch2a-Imp Price by ECM'!G39)</f>
        <v/>
      </c>
      <c r="D38" s="274"/>
      <c r="E38" s="391"/>
      <c r="F38" s="391"/>
      <c r="G38" s="391"/>
      <c r="H38" s="391"/>
      <c r="I38" s="276"/>
      <c r="J38" s="391"/>
      <c r="K38" s="275"/>
      <c r="L38" s="275"/>
      <c r="M38" s="275"/>
      <c r="N38" s="269"/>
      <c r="O38" s="391"/>
      <c r="P38" s="275"/>
      <c r="Q38" s="392"/>
      <c r="R38" s="275"/>
      <c r="S38" s="392"/>
      <c r="T38" s="393"/>
      <c r="U38" s="392"/>
      <c r="V38" s="393"/>
      <c r="W38" s="394"/>
      <c r="X38" s="393"/>
      <c r="Y38" s="390">
        <f t="shared" si="3"/>
        <v>0</v>
      </c>
      <c r="Z38" s="16">
        <f t="shared" si="4"/>
        <v>0</v>
      </c>
      <c r="AA38" s="392"/>
      <c r="AB38" s="393"/>
      <c r="AC38" s="393"/>
      <c r="AD38" s="393"/>
      <c r="AE38" s="139">
        <f t="shared" si="1"/>
        <v>0</v>
      </c>
      <c r="AF38" s="139" t="str">
        <f>IF('Sch2a-Imp Price by ECM'!C39="Yes", 0, 'Sch2a-Imp Price by ECM'!L39)</f>
        <v/>
      </c>
      <c r="AG38" s="159" t="str">
        <f t="shared" si="2"/>
        <v/>
      </c>
      <c r="AH38" s="4" t="str">
        <f>IF('Sch2a-Imp Price by ECM'!M39="","",'Sch2a-Imp Price by ECM'!M39)</f>
        <v/>
      </c>
    </row>
    <row r="39" spans="1:34" ht="17" thickBot="1">
      <c r="A39" s="75" t="str">
        <f>IF('Sch2a-Imp Price by ECM'!B40="","",'Sch2a-Imp Price by ECM'!B40)</f>
        <v/>
      </c>
      <c r="B39" s="174" t="str">
        <f>IF('Sch2a-Imp Price by ECM'!D40="","",'Sch2a-Imp Price by ECM'!D40)</f>
        <v/>
      </c>
      <c r="C39" s="400" t="str">
        <f>IF('Sch2a-Imp Price by ECM'!G40="","",'Sch2a-Imp Price by ECM'!G40)</f>
        <v/>
      </c>
      <c r="D39" s="274"/>
      <c r="E39" s="391"/>
      <c r="F39" s="391"/>
      <c r="G39" s="391"/>
      <c r="H39" s="391"/>
      <c r="I39" s="276"/>
      <c r="J39" s="391"/>
      <c r="K39" s="275"/>
      <c r="L39" s="275"/>
      <c r="M39" s="275"/>
      <c r="N39" s="269"/>
      <c r="O39" s="391"/>
      <c r="P39" s="275"/>
      <c r="Q39" s="392"/>
      <c r="R39" s="275"/>
      <c r="S39" s="392"/>
      <c r="T39" s="393"/>
      <c r="U39" s="392"/>
      <c r="V39" s="393"/>
      <c r="W39" s="394"/>
      <c r="X39" s="393"/>
      <c r="Y39" s="390">
        <f t="shared" si="3"/>
        <v>0</v>
      </c>
      <c r="Z39" s="16">
        <f t="shared" si="4"/>
        <v>0</v>
      </c>
      <c r="AA39" s="392"/>
      <c r="AB39" s="393"/>
      <c r="AC39" s="393"/>
      <c r="AD39" s="393"/>
      <c r="AE39" s="139">
        <f t="shared" si="1"/>
        <v>0</v>
      </c>
      <c r="AF39" s="139" t="str">
        <f>IF('Sch2a-Imp Price by ECM'!C40="Yes", 0, 'Sch2a-Imp Price by ECM'!L40)</f>
        <v/>
      </c>
      <c r="AG39" s="159" t="str">
        <f t="shared" si="2"/>
        <v/>
      </c>
      <c r="AH39" s="4" t="str">
        <f>IF('Sch2a-Imp Price by ECM'!M40="","",'Sch2a-Imp Price by ECM'!M40)</f>
        <v/>
      </c>
    </row>
    <row r="40" spans="1:34" ht="17" thickBot="1">
      <c r="A40" s="75" t="str">
        <f>IF('Sch2a-Imp Price by ECM'!B41="","",'Sch2a-Imp Price by ECM'!B41)</f>
        <v/>
      </c>
      <c r="B40" s="174" t="str">
        <f>IF('Sch2a-Imp Price by ECM'!D41="","",'Sch2a-Imp Price by ECM'!D41)</f>
        <v/>
      </c>
      <c r="C40" s="400" t="str">
        <f>IF('Sch2a-Imp Price by ECM'!G41="","",'Sch2a-Imp Price by ECM'!G41)</f>
        <v/>
      </c>
      <c r="D40" s="274"/>
      <c r="E40" s="391"/>
      <c r="F40" s="391"/>
      <c r="G40" s="391"/>
      <c r="H40" s="391"/>
      <c r="I40" s="276"/>
      <c r="J40" s="391"/>
      <c r="K40" s="275"/>
      <c r="L40" s="275"/>
      <c r="M40" s="275"/>
      <c r="N40" s="269"/>
      <c r="O40" s="391"/>
      <c r="P40" s="275"/>
      <c r="Q40" s="392"/>
      <c r="R40" s="275"/>
      <c r="S40" s="392"/>
      <c r="T40" s="393"/>
      <c r="U40" s="392"/>
      <c r="V40" s="393"/>
      <c r="W40" s="394"/>
      <c r="X40" s="393"/>
      <c r="Y40" s="390">
        <f t="shared" si="3"/>
        <v>0</v>
      </c>
      <c r="Z40" s="16">
        <f t="shared" si="4"/>
        <v>0</v>
      </c>
      <c r="AA40" s="392"/>
      <c r="AB40" s="393"/>
      <c r="AC40" s="393"/>
      <c r="AD40" s="393"/>
      <c r="AE40" s="139">
        <f t="shared" si="1"/>
        <v>0</v>
      </c>
      <c r="AF40" s="139" t="str">
        <f>IF('Sch2a-Imp Price by ECM'!C41="Yes", 0, 'Sch2a-Imp Price by ECM'!L41)</f>
        <v/>
      </c>
      <c r="AG40" s="159" t="str">
        <f t="shared" si="2"/>
        <v/>
      </c>
      <c r="AH40" s="4" t="str">
        <f>IF('Sch2a-Imp Price by ECM'!M41="","",'Sch2a-Imp Price by ECM'!M41)</f>
        <v/>
      </c>
    </row>
    <row r="41" spans="1:34" ht="17" thickBot="1">
      <c r="A41" s="75" t="str">
        <f>IF('Sch2a-Imp Price by ECM'!B42="","",'Sch2a-Imp Price by ECM'!B42)</f>
        <v/>
      </c>
      <c r="B41" s="174" t="str">
        <f>IF('Sch2a-Imp Price by ECM'!D42="","",'Sch2a-Imp Price by ECM'!D42)</f>
        <v/>
      </c>
      <c r="C41" s="400" t="str">
        <f>IF('Sch2a-Imp Price by ECM'!G42="","",'Sch2a-Imp Price by ECM'!G42)</f>
        <v/>
      </c>
      <c r="D41" s="274"/>
      <c r="E41" s="391"/>
      <c r="F41" s="391"/>
      <c r="G41" s="391"/>
      <c r="H41" s="391"/>
      <c r="I41" s="276"/>
      <c r="J41" s="391"/>
      <c r="K41" s="275"/>
      <c r="L41" s="275"/>
      <c r="M41" s="275"/>
      <c r="N41" s="269"/>
      <c r="O41" s="391"/>
      <c r="P41" s="275"/>
      <c r="Q41" s="392"/>
      <c r="R41" s="275"/>
      <c r="S41" s="392"/>
      <c r="T41" s="393"/>
      <c r="U41" s="392"/>
      <c r="V41" s="393"/>
      <c r="W41" s="394"/>
      <c r="X41" s="393"/>
      <c r="Y41" s="390">
        <f t="shared" si="3"/>
        <v>0</v>
      </c>
      <c r="Z41" s="16">
        <f t="shared" si="4"/>
        <v>0</v>
      </c>
      <c r="AA41" s="392"/>
      <c r="AB41" s="393"/>
      <c r="AC41" s="393"/>
      <c r="AD41" s="393"/>
      <c r="AE41" s="139">
        <f t="shared" si="1"/>
        <v>0</v>
      </c>
      <c r="AF41" s="139" t="str">
        <f>IF('Sch2a-Imp Price by ECM'!C42="Yes", 0, 'Sch2a-Imp Price by ECM'!L42)</f>
        <v/>
      </c>
      <c r="AG41" s="159" t="str">
        <f t="shared" si="2"/>
        <v/>
      </c>
      <c r="AH41" s="4" t="str">
        <f>IF('Sch2a-Imp Price by ECM'!M42="","",'Sch2a-Imp Price by ECM'!M42)</f>
        <v/>
      </c>
    </row>
    <row r="42" spans="1:34" ht="17" thickBot="1">
      <c r="A42" s="75" t="str">
        <f>IF('Sch2a-Imp Price by ECM'!B43="","",'Sch2a-Imp Price by ECM'!B43)</f>
        <v/>
      </c>
      <c r="B42" s="174" t="str">
        <f>IF('Sch2a-Imp Price by ECM'!D43="","",'Sch2a-Imp Price by ECM'!D43)</f>
        <v/>
      </c>
      <c r="C42" s="400" t="str">
        <f>IF('Sch2a-Imp Price by ECM'!G43="","",'Sch2a-Imp Price by ECM'!G43)</f>
        <v/>
      </c>
      <c r="D42" s="274"/>
      <c r="E42" s="391"/>
      <c r="F42" s="391"/>
      <c r="G42" s="391"/>
      <c r="H42" s="391"/>
      <c r="I42" s="276"/>
      <c r="J42" s="391"/>
      <c r="K42" s="275"/>
      <c r="L42" s="275"/>
      <c r="M42" s="275"/>
      <c r="N42" s="269"/>
      <c r="O42" s="391"/>
      <c r="P42" s="275"/>
      <c r="Q42" s="392"/>
      <c r="R42" s="275"/>
      <c r="S42" s="392"/>
      <c r="T42" s="393"/>
      <c r="U42" s="392"/>
      <c r="V42" s="393"/>
      <c r="W42" s="394"/>
      <c r="X42" s="393"/>
      <c r="Y42" s="390">
        <f t="shared" si="3"/>
        <v>0</v>
      </c>
      <c r="Z42" s="16">
        <f t="shared" si="4"/>
        <v>0</v>
      </c>
      <c r="AA42" s="392"/>
      <c r="AB42" s="393"/>
      <c r="AC42" s="393"/>
      <c r="AD42" s="393"/>
      <c r="AE42" s="139">
        <f t="shared" si="1"/>
        <v>0</v>
      </c>
      <c r="AF42" s="139" t="str">
        <f>IF('Sch2a-Imp Price by ECM'!C43="Yes", 0, 'Sch2a-Imp Price by ECM'!L43)</f>
        <v/>
      </c>
      <c r="AG42" s="159" t="str">
        <f t="shared" si="2"/>
        <v/>
      </c>
      <c r="AH42" s="4" t="str">
        <f>IF('Sch2a-Imp Price by ECM'!M43="","",'Sch2a-Imp Price by ECM'!M43)</f>
        <v/>
      </c>
    </row>
    <row r="43" spans="1:34" ht="17" thickBot="1">
      <c r="A43" s="75" t="str">
        <f>IF('Sch2a-Imp Price by ECM'!B44="","",'Sch2a-Imp Price by ECM'!B44)</f>
        <v/>
      </c>
      <c r="B43" s="174" t="str">
        <f>IF('Sch2a-Imp Price by ECM'!D44="","",'Sch2a-Imp Price by ECM'!D44)</f>
        <v/>
      </c>
      <c r="C43" s="400" t="str">
        <f>IF('Sch2a-Imp Price by ECM'!G44="","",'Sch2a-Imp Price by ECM'!G44)</f>
        <v/>
      </c>
      <c r="D43" s="274"/>
      <c r="E43" s="391"/>
      <c r="F43" s="391"/>
      <c r="G43" s="391"/>
      <c r="H43" s="391"/>
      <c r="I43" s="276"/>
      <c r="J43" s="391"/>
      <c r="K43" s="275"/>
      <c r="L43" s="275"/>
      <c r="M43" s="275"/>
      <c r="N43" s="269"/>
      <c r="O43" s="391"/>
      <c r="P43" s="275"/>
      <c r="Q43" s="392"/>
      <c r="R43" s="275"/>
      <c r="S43" s="392"/>
      <c r="T43" s="393"/>
      <c r="U43" s="392"/>
      <c r="V43" s="393"/>
      <c r="W43" s="394"/>
      <c r="X43" s="393"/>
      <c r="Y43" s="390">
        <f t="shared" si="3"/>
        <v>0</v>
      </c>
      <c r="Z43" s="16">
        <f t="shared" si="4"/>
        <v>0</v>
      </c>
      <c r="AA43" s="392"/>
      <c r="AB43" s="393"/>
      <c r="AC43" s="393"/>
      <c r="AD43" s="393"/>
      <c r="AE43" s="139">
        <f t="shared" si="1"/>
        <v>0</v>
      </c>
      <c r="AF43" s="139" t="str">
        <f>IF('Sch2a-Imp Price by ECM'!C44="Yes", 0, 'Sch2a-Imp Price by ECM'!L44)</f>
        <v/>
      </c>
      <c r="AG43" s="159" t="str">
        <f t="shared" si="2"/>
        <v/>
      </c>
      <c r="AH43" s="4" t="str">
        <f>IF('Sch2a-Imp Price by ECM'!M44="","",'Sch2a-Imp Price by ECM'!M44)</f>
        <v/>
      </c>
    </row>
    <row r="44" spans="1:34" ht="17" thickBot="1">
      <c r="A44" s="75" t="str">
        <f>IF('Sch2a-Imp Price by ECM'!B45="","",'Sch2a-Imp Price by ECM'!B45)</f>
        <v/>
      </c>
      <c r="B44" s="174" t="str">
        <f>IF('Sch2a-Imp Price by ECM'!D45="","",'Sch2a-Imp Price by ECM'!D45)</f>
        <v/>
      </c>
      <c r="C44" s="400" t="str">
        <f>IF('Sch2a-Imp Price by ECM'!G45="","",'Sch2a-Imp Price by ECM'!G45)</f>
        <v/>
      </c>
      <c r="D44" s="274"/>
      <c r="E44" s="391"/>
      <c r="F44" s="391"/>
      <c r="G44" s="391"/>
      <c r="H44" s="391"/>
      <c r="I44" s="276"/>
      <c r="J44" s="391"/>
      <c r="K44" s="275"/>
      <c r="L44" s="275"/>
      <c r="M44" s="275"/>
      <c r="N44" s="269"/>
      <c r="O44" s="391"/>
      <c r="P44" s="275"/>
      <c r="Q44" s="392"/>
      <c r="R44" s="275"/>
      <c r="S44" s="392"/>
      <c r="T44" s="393"/>
      <c r="U44" s="392"/>
      <c r="V44" s="393"/>
      <c r="W44" s="394"/>
      <c r="X44" s="393"/>
      <c r="Y44" s="390">
        <f t="shared" si="3"/>
        <v>0</v>
      </c>
      <c r="Z44" s="16">
        <f t="shared" si="4"/>
        <v>0</v>
      </c>
      <c r="AA44" s="392"/>
      <c r="AB44" s="393"/>
      <c r="AC44" s="393"/>
      <c r="AD44" s="393"/>
      <c r="AE44" s="139">
        <f t="shared" si="1"/>
        <v>0</v>
      </c>
      <c r="AF44" s="139" t="str">
        <f>IF('Sch2a-Imp Price by ECM'!C45="Yes", 0, 'Sch2a-Imp Price by ECM'!L45)</f>
        <v/>
      </c>
      <c r="AG44" s="159" t="str">
        <f t="shared" si="2"/>
        <v/>
      </c>
      <c r="AH44" s="4" t="str">
        <f>IF('Sch2a-Imp Price by ECM'!M45="","",'Sch2a-Imp Price by ECM'!M45)</f>
        <v/>
      </c>
    </row>
    <row r="45" spans="1:34" ht="17" thickBot="1">
      <c r="A45" s="75" t="str">
        <f>IF('Sch2a-Imp Price by ECM'!B46="","",'Sch2a-Imp Price by ECM'!B46)</f>
        <v/>
      </c>
      <c r="B45" s="174" t="str">
        <f>IF('Sch2a-Imp Price by ECM'!D46="","",'Sch2a-Imp Price by ECM'!D46)</f>
        <v/>
      </c>
      <c r="C45" s="400" t="str">
        <f>IF('Sch2a-Imp Price by ECM'!G46="","",'Sch2a-Imp Price by ECM'!G46)</f>
        <v/>
      </c>
      <c r="D45" s="274"/>
      <c r="E45" s="391"/>
      <c r="F45" s="391"/>
      <c r="G45" s="391"/>
      <c r="H45" s="391"/>
      <c r="I45" s="276"/>
      <c r="J45" s="391"/>
      <c r="K45" s="275"/>
      <c r="L45" s="275"/>
      <c r="M45" s="275"/>
      <c r="N45" s="269"/>
      <c r="O45" s="391"/>
      <c r="P45" s="275"/>
      <c r="Q45" s="392"/>
      <c r="R45" s="275"/>
      <c r="S45" s="392"/>
      <c r="T45" s="393"/>
      <c r="U45" s="392"/>
      <c r="V45" s="393"/>
      <c r="W45" s="394"/>
      <c r="X45" s="393"/>
      <c r="Y45" s="390">
        <f t="shared" si="3"/>
        <v>0</v>
      </c>
      <c r="Z45" s="16">
        <f t="shared" si="4"/>
        <v>0</v>
      </c>
      <c r="AA45" s="392"/>
      <c r="AB45" s="393"/>
      <c r="AC45" s="393"/>
      <c r="AD45" s="393"/>
      <c r="AE45" s="139">
        <f t="shared" si="1"/>
        <v>0</v>
      </c>
      <c r="AF45" s="139" t="str">
        <f>IF('Sch2a-Imp Price by ECM'!C46="Yes", 0, 'Sch2a-Imp Price by ECM'!L46)</f>
        <v/>
      </c>
      <c r="AG45" s="159" t="str">
        <f t="shared" si="2"/>
        <v/>
      </c>
      <c r="AH45" s="4" t="str">
        <f>IF('Sch2a-Imp Price by ECM'!M46="","",'Sch2a-Imp Price by ECM'!M46)</f>
        <v/>
      </c>
    </row>
    <row r="46" spans="1:34" ht="17" thickBot="1">
      <c r="A46" s="75" t="str">
        <f>IF('Sch2a-Imp Price by ECM'!B47="","",'Sch2a-Imp Price by ECM'!B47)</f>
        <v/>
      </c>
      <c r="B46" s="174" t="str">
        <f>IF('Sch2a-Imp Price by ECM'!D47="","",'Sch2a-Imp Price by ECM'!D47)</f>
        <v/>
      </c>
      <c r="C46" s="400" t="str">
        <f>IF('Sch2a-Imp Price by ECM'!G47="","",'Sch2a-Imp Price by ECM'!G47)</f>
        <v/>
      </c>
      <c r="D46" s="274"/>
      <c r="E46" s="391"/>
      <c r="F46" s="391"/>
      <c r="G46" s="391"/>
      <c r="H46" s="391"/>
      <c r="I46" s="276"/>
      <c r="J46" s="391"/>
      <c r="K46" s="275"/>
      <c r="L46" s="275"/>
      <c r="M46" s="275"/>
      <c r="N46" s="269"/>
      <c r="O46" s="391"/>
      <c r="P46" s="275"/>
      <c r="Q46" s="392"/>
      <c r="R46" s="275"/>
      <c r="S46" s="392"/>
      <c r="T46" s="393"/>
      <c r="U46" s="392"/>
      <c r="V46" s="393"/>
      <c r="W46" s="394"/>
      <c r="X46" s="393"/>
      <c r="Y46" s="390">
        <f t="shared" si="3"/>
        <v>0</v>
      </c>
      <c r="Z46" s="16">
        <f t="shared" si="4"/>
        <v>0</v>
      </c>
      <c r="AA46" s="392"/>
      <c r="AB46" s="393"/>
      <c r="AC46" s="393"/>
      <c r="AD46" s="393"/>
      <c r="AE46" s="139">
        <f t="shared" si="1"/>
        <v>0</v>
      </c>
      <c r="AF46" s="139" t="str">
        <f>IF('Sch2a-Imp Price by ECM'!C47="Yes", 0, 'Sch2a-Imp Price by ECM'!L47)</f>
        <v/>
      </c>
      <c r="AG46" s="159" t="str">
        <f t="shared" si="2"/>
        <v/>
      </c>
      <c r="AH46" s="4" t="str">
        <f>IF('Sch2a-Imp Price by ECM'!M47="","",'Sch2a-Imp Price by ECM'!M47)</f>
        <v/>
      </c>
    </row>
    <row r="47" spans="1:34" ht="17" thickBot="1">
      <c r="A47" s="75" t="str">
        <f>IF('Sch2a-Imp Price by ECM'!B48="","",'Sch2a-Imp Price by ECM'!B48)</f>
        <v/>
      </c>
      <c r="B47" s="174" t="str">
        <f>IF('Sch2a-Imp Price by ECM'!D48="","",'Sch2a-Imp Price by ECM'!D48)</f>
        <v/>
      </c>
      <c r="C47" s="400" t="str">
        <f>IF('Sch2a-Imp Price by ECM'!G48="","",'Sch2a-Imp Price by ECM'!G48)</f>
        <v/>
      </c>
      <c r="D47" s="274"/>
      <c r="E47" s="391"/>
      <c r="F47" s="391"/>
      <c r="G47" s="391"/>
      <c r="H47" s="391"/>
      <c r="I47" s="276"/>
      <c r="J47" s="391"/>
      <c r="K47" s="275"/>
      <c r="L47" s="275"/>
      <c r="M47" s="275"/>
      <c r="N47" s="269"/>
      <c r="O47" s="391"/>
      <c r="P47" s="275"/>
      <c r="Q47" s="392"/>
      <c r="R47" s="275"/>
      <c r="S47" s="392"/>
      <c r="T47" s="393"/>
      <c r="U47" s="392"/>
      <c r="V47" s="393"/>
      <c r="W47" s="394"/>
      <c r="X47" s="393"/>
      <c r="Y47" s="390">
        <f t="shared" si="3"/>
        <v>0</v>
      </c>
      <c r="Z47" s="16">
        <f t="shared" si="4"/>
        <v>0</v>
      </c>
      <c r="AA47" s="392"/>
      <c r="AB47" s="393"/>
      <c r="AC47" s="393"/>
      <c r="AD47" s="393"/>
      <c r="AE47" s="139">
        <f t="shared" si="1"/>
        <v>0</v>
      </c>
      <c r="AF47" s="139" t="str">
        <f>IF('Sch2a-Imp Price by ECM'!C48="Yes", 0, 'Sch2a-Imp Price by ECM'!L48)</f>
        <v/>
      </c>
      <c r="AG47" s="159" t="str">
        <f t="shared" si="2"/>
        <v/>
      </c>
      <c r="AH47" s="4" t="str">
        <f>IF('Sch2a-Imp Price by ECM'!M48="","",'Sch2a-Imp Price by ECM'!M48)</f>
        <v/>
      </c>
    </row>
    <row r="48" spans="1:34" ht="17" thickBot="1">
      <c r="A48" s="75" t="str">
        <f>IF('Sch2a-Imp Price by ECM'!B49="","",'Sch2a-Imp Price by ECM'!B49)</f>
        <v/>
      </c>
      <c r="B48" s="174" t="str">
        <f>IF('Sch2a-Imp Price by ECM'!D49="","",'Sch2a-Imp Price by ECM'!D49)</f>
        <v/>
      </c>
      <c r="C48" s="400" t="str">
        <f>IF('Sch2a-Imp Price by ECM'!G49="","",'Sch2a-Imp Price by ECM'!G49)</f>
        <v/>
      </c>
      <c r="D48" s="274"/>
      <c r="E48" s="391"/>
      <c r="F48" s="391"/>
      <c r="G48" s="391"/>
      <c r="H48" s="391"/>
      <c r="I48" s="276"/>
      <c r="J48" s="391"/>
      <c r="K48" s="275"/>
      <c r="L48" s="275"/>
      <c r="M48" s="275"/>
      <c r="N48" s="269"/>
      <c r="O48" s="391"/>
      <c r="P48" s="275"/>
      <c r="Q48" s="392"/>
      <c r="R48" s="275"/>
      <c r="S48" s="392"/>
      <c r="T48" s="393"/>
      <c r="U48" s="392"/>
      <c r="V48" s="393"/>
      <c r="W48" s="394"/>
      <c r="X48" s="393"/>
      <c r="Y48" s="390">
        <f t="shared" si="3"/>
        <v>0</v>
      </c>
      <c r="Z48" s="16">
        <f t="shared" si="4"/>
        <v>0</v>
      </c>
      <c r="AA48" s="392"/>
      <c r="AB48" s="393"/>
      <c r="AC48" s="393"/>
      <c r="AD48" s="393"/>
      <c r="AE48" s="139">
        <f t="shared" si="1"/>
        <v>0</v>
      </c>
      <c r="AF48" s="139" t="str">
        <f>IF('Sch2a-Imp Price by ECM'!C49="Yes", 0, 'Sch2a-Imp Price by ECM'!L49)</f>
        <v/>
      </c>
      <c r="AG48" s="159" t="str">
        <f t="shared" si="2"/>
        <v/>
      </c>
      <c r="AH48" s="4" t="str">
        <f>IF('Sch2a-Imp Price by ECM'!M49="","",'Sch2a-Imp Price by ECM'!M49)</f>
        <v/>
      </c>
    </row>
    <row r="49" spans="1:34" ht="17" thickBot="1">
      <c r="A49" s="75" t="str">
        <f>IF('Sch2a-Imp Price by ECM'!B50="","",'Sch2a-Imp Price by ECM'!B50)</f>
        <v/>
      </c>
      <c r="B49" s="174" t="str">
        <f>IF('Sch2a-Imp Price by ECM'!D50="","",'Sch2a-Imp Price by ECM'!D50)</f>
        <v/>
      </c>
      <c r="C49" s="400" t="str">
        <f>IF('Sch2a-Imp Price by ECM'!G50="","",'Sch2a-Imp Price by ECM'!G50)</f>
        <v/>
      </c>
      <c r="D49" s="274"/>
      <c r="E49" s="391"/>
      <c r="F49" s="391"/>
      <c r="G49" s="391"/>
      <c r="H49" s="391"/>
      <c r="I49" s="276"/>
      <c r="J49" s="391"/>
      <c r="K49" s="275"/>
      <c r="L49" s="275"/>
      <c r="M49" s="275"/>
      <c r="N49" s="269"/>
      <c r="O49" s="391"/>
      <c r="P49" s="275"/>
      <c r="Q49" s="392"/>
      <c r="R49" s="275"/>
      <c r="S49" s="392"/>
      <c r="T49" s="393"/>
      <c r="U49" s="392"/>
      <c r="V49" s="393"/>
      <c r="W49" s="394"/>
      <c r="X49" s="393"/>
      <c r="Y49" s="390">
        <f t="shared" si="3"/>
        <v>0</v>
      </c>
      <c r="Z49" s="16">
        <f t="shared" si="4"/>
        <v>0</v>
      </c>
      <c r="AA49" s="392"/>
      <c r="AB49" s="393"/>
      <c r="AC49" s="393"/>
      <c r="AD49" s="393"/>
      <c r="AE49" s="139">
        <f t="shared" si="1"/>
        <v>0</v>
      </c>
      <c r="AF49" s="139" t="str">
        <f>IF('Sch2a-Imp Price by ECM'!C50="Yes", 0, 'Sch2a-Imp Price by ECM'!L50)</f>
        <v/>
      </c>
      <c r="AG49" s="159" t="str">
        <f t="shared" si="2"/>
        <v/>
      </c>
      <c r="AH49" s="4" t="str">
        <f>IF('Sch2a-Imp Price by ECM'!M50="","",'Sch2a-Imp Price by ECM'!M50)</f>
        <v/>
      </c>
    </row>
    <row r="50" spans="1:34" ht="17" thickBot="1">
      <c r="A50" s="75" t="str">
        <f>IF('Sch2a-Imp Price by ECM'!B51="","",'Sch2a-Imp Price by ECM'!B51)</f>
        <v/>
      </c>
      <c r="B50" s="174" t="str">
        <f>IF('Sch2a-Imp Price by ECM'!D51="","",'Sch2a-Imp Price by ECM'!D51)</f>
        <v/>
      </c>
      <c r="C50" s="400" t="str">
        <f>IF('Sch2a-Imp Price by ECM'!G51="","",'Sch2a-Imp Price by ECM'!G51)</f>
        <v/>
      </c>
      <c r="D50" s="274"/>
      <c r="E50" s="391"/>
      <c r="F50" s="391"/>
      <c r="G50" s="391"/>
      <c r="H50" s="391"/>
      <c r="I50" s="276"/>
      <c r="J50" s="391"/>
      <c r="K50" s="275"/>
      <c r="L50" s="275"/>
      <c r="M50" s="275"/>
      <c r="N50" s="269"/>
      <c r="O50" s="391"/>
      <c r="P50" s="275"/>
      <c r="Q50" s="392"/>
      <c r="R50" s="275"/>
      <c r="S50" s="392"/>
      <c r="T50" s="393"/>
      <c r="U50" s="392"/>
      <c r="V50" s="393"/>
      <c r="W50" s="394"/>
      <c r="X50" s="393"/>
      <c r="Y50" s="390">
        <f t="shared" si="3"/>
        <v>0</v>
      </c>
      <c r="Z50" s="16">
        <f t="shared" si="4"/>
        <v>0</v>
      </c>
      <c r="AA50" s="392"/>
      <c r="AB50" s="393"/>
      <c r="AC50" s="393"/>
      <c r="AD50" s="393"/>
      <c r="AE50" s="139">
        <f t="shared" si="1"/>
        <v>0</v>
      </c>
      <c r="AF50" s="139" t="str">
        <f>IF('Sch2a-Imp Price by ECM'!C51="Yes", 0, 'Sch2a-Imp Price by ECM'!L51)</f>
        <v/>
      </c>
      <c r="AG50" s="159" t="str">
        <f t="shared" si="2"/>
        <v/>
      </c>
      <c r="AH50" s="4" t="str">
        <f>IF('Sch2a-Imp Price by ECM'!M51="","",'Sch2a-Imp Price by ECM'!M51)</f>
        <v/>
      </c>
    </row>
    <row r="51" spans="1:34" ht="17" thickBot="1">
      <c r="A51" s="75" t="str">
        <f>IF('Sch2a-Imp Price by ECM'!B52="","",'Sch2a-Imp Price by ECM'!B52)</f>
        <v/>
      </c>
      <c r="B51" s="174" t="str">
        <f>IF('Sch2a-Imp Price by ECM'!D52="","",'Sch2a-Imp Price by ECM'!D52)</f>
        <v/>
      </c>
      <c r="C51" s="400" t="str">
        <f>IF('Sch2a-Imp Price by ECM'!G52="","",'Sch2a-Imp Price by ECM'!G52)</f>
        <v/>
      </c>
      <c r="D51" s="274"/>
      <c r="E51" s="391"/>
      <c r="F51" s="391"/>
      <c r="G51" s="391"/>
      <c r="H51" s="391"/>
      <c r="I51" s="276"/>
      <c r="J51" s="391"/>
      <c r="K51" s="275"/>
      <c r="L51" s="275"/>
      <c r="M51" s="275"/>
      <c r="N51" s="276"/>
      <c r="O51" s="391"/>
      <c r="P51" s="275"/>
      <c r="Q51" s="392"/>
      <c r="R51" s="275"/>
      <c r="S51" s="392"/>
      <c r="T51" s="393"/>
      <c r="U51" s="392"/>
      <c r="V51" s="393"/>
      <c r="W51" s="394"/>
      <c r="X51" s="393"/>
      <c r="Y51" s="390">
        <f t="shared" si="3"/>
        <v>0</v>
      </c>
      <c r="Z51" s="16">
        <f t="shared" si="4"/>
        <v>0</v>
      </c>
      <c r="AA51" s="392"/>
      <c r="AB51" s="393"/>
      <c r="AC51" s="393"/>
      <c r="AD51" s="393"/>
      <c r="AE51" s="139">
        <f t="shared" si="1"/>
        <v>0</v>
      </c>
      <c r="AF51" s="139" t="str">
        <f>IF('Sch2a-Imp Price by ECM'!C52="Yes", 0, 'Sch2a-Imp Price by ECM'!L52)</f>
        <v/>
      </c>
      <c r="AG51" s="159" t="str">
        <f t="shared" si="2"/>
        <v/>
      </c>
      <c r="AH51" s="4" t="str">
        <f>IF('Sch2a-Imp Price by ECM'!M52="","",'Sch2a-Imp Price by ECM'!M52)</f>
        <v/>
      </c>
    </row>
    <row r="52" spans="1:34" ht="17" thickBot="1">
      <c r="A52" s="75" t="str">
        <f>IF('Sch2a-Imp Price by ECM'!B53="","",'Sch2a-Imp Price by ECM'!B53)</f>
        <v/>
      </c>
      <c r="B52" s="174" t="str">
        <f>IF('Sch2a-Imp Price by ECM'!D53="","",'Sch2a-Imp Price by ECM'!D53)</f>
        <v/>
      </c>
      <c r="C52" s="400" t="str">
        <f>IF('Sch2a-Imp Price by ECM'!G53="","",'Sch2a-Imp Price by ECM'!G53)</f>
        <v/>
      </c>
      <c r="D52" s="274"/>
      <c r="E52" s="391"/>
      <c r="F52" s="391"/>
      <c r="G52" s="391"/>
      <c r="H52" s="391"/>
      <c r="I52" s="276"/>
      <c r="J52" s="391"/>
      <c r="K52" s="275"/>
      <c r="L52" s="275"/>
      <c r="M52" s="275"/>
      <c r="N52" s="276"/>
      <c r="O52" s="391"/>
      <c r="P52" s="275"/>
      <c r="Q52" s="392"/>
      <c r="R52" s="275"/>
      <c r="S52" s="392"/>
      <c r="T52" s="393"/>
      <c r="U52" s="392"/>
      <c r="V52" s="393"/>
      <c r="W52" s="394"/>
      <c r="X52" s="393"/>
      <c r="Y52" s="390">
        <f t="shared" si="3"/>
        <v>0</v>
      </c>
      <c r="Z52" s="16">
        <f t="shared" si="4"/>
        <v>0</v>
      </c>
      <c r="AA52" s="392"/>
      <c r="AB52" s="393"/>
      <c r="AC52" s="393"/>
      <c r="AD52" s="393"/>
      <c r="AE52" s="139">
        <f t="shared" si="1"/>
        <v>0</v>
      </c>
      <c r="AF52" s="139" t="str">
        <f>IF('Sch2a-Imp Price by ECM'!C53="Yes", 0, 'Sch2a-Imp Price by ECM'!L53)</f>
        <v/>
      </c>
      <c r="AG52" s="159" t="str">
        <f t="shared" si="2"/>
        <v/>
      </c>
      <c r="AH52" s="4" t="str">
        <f>IF('Sch2a-Imp Price by ECM'!M53="","",'Sch2a-Imp Price by ECM'!M53)</f>
        <v/>
      </c>
    </row>
    <row r="53" spans="1:34" ht="17" thickBot="1">
      <c r="A53" s="75" t="str">
        <f>IF('Sch2a-Imp Price by ECM'!B54="","",'Sch2a-Imp Price by ECM'!B54)</f>
        <v/>
      </c>
      <c r="B53" s="174" t="str">
        <f>IF('Sch2a-Imp Price by ECM'!D54="","",'Sch2a-Imp Price by ECM'!D54)</f>
        <v/>
      </c>
      <c r="C53" s="400" t="str">
        <f>IF('Sch2a-Imp Price by ECM'!G54="","",'Sch2a-Imp Price by ECM'!G54)</f>
        <v/>
      </c>
      <c r="D53" s="274"/>
      <c r="E53" s="391"/>
      <c r="F53" s="391"/>
      <c r="G53" s="391"/>
      <c r="H53" s="391"/>
      <c r="I53" s="276"/>
      <c r="J53" s="391"/>
      <c r="K53" s="275"/>
      <c r="L53" s="275"/>
      <c r="M53" s="275"/>
      <c r="N53" s="276"/>
      <c r="O53" s="391"/>
      <c r="P53" s="275"/>
      <c r="Q53" s="392"/>
      <c r="R53" s="275"/>
      <c r="S53" s="392"/>
      <c r="T53" s="393"/>
      <c r="U53" s="392"/>
      <c r="V53" s="393"/>
      <c r="W53" s="394"/>
      <c r="X53" s="393"/>
      <c r="Y53" s="390">
        <f t="shared" si="3"/>
        <v>0</v>
      </c>
      <c r="Z53" s="16">
        <f t="shared" si="4"/>
        <v>0</v>
      </c>
      <c r="AA53" s="392"/>
      <c r="AB53" s="393"/>
      <c r="AC53" s="393"/>
      <c r="AD53" s="393"/>
      <c r="AE53" s="139">
        <f t="shared" si="1"/>
        <v>0</v>
      </c>
      <c r="AF53" s="139" t="str">
        <f>IF('Sch2a-Imp Price by ECM'!C54="Yes", 0, 'Sch2a-Imp Price by ECM'!L54)</f>
        <v/>
      </c>
      <c r="AG53" s="159" t="str">
        <f t="shared" si="2"/>
        <v/>
      </c>
      <c r="AH53" s="4" t="str">
        <f>IF('Sch2a-Imp Price by ECM'!M54="","",'Sch2a-Imp Price by ECM'!M54)</f>
        <v/>
      </c>
    </row>
    <row r="54" spans="1:34" ht="17" thickBot="1">
      <c r="A54" s="75" t="str">
        <f>IF('Sch2a-Imp Price by ECM'!B55="","",'Sch2a-Imp Price by ECM'!B55)</f>
        <v/>
      </c>
      <c r="B54" s="174" t="str">
        <f>IF('Sch2a-Imp Price by ECM'!D55="","",'Sch2a-Imp Price by ECM'!D55)</f>
        <v/>
      </c>
      <c r="C54" s="400" t="str">
        <f>IF('Sch2a-Imp Price by ECM'!G55="","",'Sch2a-Imp Price by ECM'!G55)</f>
        <v/>
      </c>
      <c r="D54" s="274"/>
      <c r="E54" s="391"/>
      <c r="F54" s="391"/>
      <c r="G54" s="391"/>
      <c r="H54" s="391"/>
      <c r="I54" s="276"/>
      <c r="J54" s="391"/>
      <c r="K54" s="275"/>
      <c r="L54" s="275"/>
      <c r="M54" s="275"/>
      <c r="N54" s="276"/>
      <c r="O54" s="391"/>
      <c r="P54" s="275"/>
      <c r="Q54" s="392"/>
      <c r="R54" s="275"/>
      <c r="S54" s="392"/>
      <c r="T54" s="393"/>
      <c r="U54" s="392"/>
      <c r="V54" s="393"/>
      <c r="W54" s="394"/>
      <c r="X54" s="393"/>
      <c r="Y54" s="390">
        <f t="shared" si="3"/>
        <v>0</v>
      </c>
      <c r="Z54" s="16">
        <f t="shared" si="4"/>
        <v>0</v>
      </c>
      <c r="AA54" s="392"/>
      <c r="AB54" s="393"/>
      <c r="AC54" s="393"/>
      <c r="AD54" s="393"/>
      <c r="AE54" s="139">
        <f t="shared" si="1"/>
        <v>0</v>
      </c>
      <c r="AF54" s="139" t="str">
        <f>IF('Sch2a-Imp Price by ECM'!C55="Yes", 0, 'Sch2a-Imp Price by ECM'!L55)</f>
        <v/>
      </c>
      <c r="AG54" s="159" t="str">
        <f t="shared" si="2"/>
        <v/>
      </c>
      <c r="AH54" s="4" t="str">
        <f>IF('Sch2a-Imp Price by ECM'!M55="","",'Sch2a-Imp Price by ECM'!M55)</f>
        <v/>
      </c>
    </row>
    <row r="55" spans="1:34" ht="18" customHeight="1" thickBot="1">
      <c r="A55" s="75" t="str">
        <f>IF('Sch2a-Imp Price by ECM'!B56="","",'Sch2a-Imp Price by ECM'!B56)</f>
        <v/>
      </c>
      <c r="B55" s="174" t="str">
        <f>IF('Sch2a-Imp Price by ECM'!D56="","",'Sch2a-Imp Price by ECM'!D56)</f>
        <v/>
      </c>
      <c r="C55" s="400" t="str">
        <f>IF('Sch2a-Imp Price by ECM'!G56="","",'Sch2a-Imp Price by ECM'!G56)</f>
        <v/>
      </c>
      <c r="D55" s="274"/>
      <c r="E55" s="391"/>
      <c r="F55" s="391"/>
      <c r="G55" s="391"/>
      <c r="H55" s="391"/>
      <c r="I55" s="276"/>
      <c r="J55" s="391"/>
      <c r="K55" s="275"/>
      <c r="L55" s="275"/>
      <c r="M55" s="275"/>
      <c r="N55" s="276"/>
      <c r="O55" s="391"/>
      <c r="P55" s="275"/>
      <c r="Q55" s="392"/>
      <c r="R55" s="275"/>
      <c r="S55" s="392"/>
      <c r="T55" s="393"/>
      <c r="U55" s="392"/>
      <c r="V55" s="393"/>
      <c r="W55" s="394"/>
      <c r="X55" s="393"/>
      <c r="Y55" s="390">
        <f t="shared" si="3"/>
        <v>0</v>
      </c>
      <c r="Z55" s="16">
        <f t="shared" si="4"/>
        <v>0</v>
      </c>
      <c r="AA55" s="392"/>
      <c r="AB55" s="393"/>
      <c r="AC55" s="393"/>
      <c r="AD55" s="393"/>
      <c r="AE55" s="139">
        <f t="shared" si="1"/>
        <v>0</v>
      </c>
      <c r="AF55" s="139" t="str">
        <f>IF('Sch2a-Imp Price by ECM'!C56="Yes", 0, 'Sch2a-Imp Price by ECM'!L56)</f>
        <v/>
      </c>
      <c r="AG55" s="159" t="str">
        <f t="shared" si="2"/>
        <v/>
      </c>
      <c r="AH55" s="4" t="str">
        <f>IF('Sch2a-Imp Price by ECM'!M56="","",'Sch2a-Imp Price by ECM'!M56)</f>
        <v/>
      </c>
    </row>
    <row r="56" spans="1:34" ht="17" thickBot="1">
      <c r="A56" s="75" t="str">
        <f>IF('Sch2a-Imp Price by ECM'!B57="","",'Sch2a-Imp Price by ECM'!B57)</f>
        <v/>
      </c>
      <c r="B56" s="174" t="str">
        <f>IF('Sch2a-Imp Price by ECM'!D57="","",'Sch2a-Imp Price by ECM'!D57)</f>
        <v/>
      </c>
      <c r="C56" s="400" t="str">
        <f>IF('Sch2a-Imp Price by ECM'!G57="","",'Sch2a-Imp Price by ECM'!G57)</f>
        <v/>
      </c>
      <c r="D56" s="274"/>
      <c r="E56" s="391"/>
      <c r="F56" s="391"/>
      <c r="G56" s="391"/>
      <c r="H56" s="391"/>
      <c r="I56" s="276"/>
      <c r="J56" s="391"/>
      <c r="K56" s="275"/>
      <c r="L56" s="275"/>
      <c r="M56" s="275"/>
      <c r="N56" s="276"/>
      <c r="O56" s="391"/>
      <c r="P56" s="275"/>
      <c r="Q56" s="392"/>
      <c r="R56" s="275"/>
      <c r="S56" s="392"/>
      <c r="T56" s="393"/>
      <c r="U56" s="392"/>
      <c r="V56" s="393"/>
      <c r="W56" s="394"/>
      <c r="X56" s="393"/>
      <c r="Y56" s="390">
        <f t="shared" si="3"/>
        <v>0</v>
      </c>
      <c r="Z56" s="16">
        <f t="shared" si="4"/>
        <v>0</v>
      </c>
      <c r="AA56" s="392"/>
      <c r="AB56" s="393"/>
      <c r="AC56" s="393"/>
      <c r="AD56" s="393"/>
      <c r="AE56" s="139">
        <f t="shared" si="1"/>
        <v>0</v>
      </c>
      <c r="AF56" s="139" t="str">
        <f>IF('Sch2a-Imp Price by ECM'!C57="Yes", 0, 'Sch2a-Imp Price by ECM'!L57)</f>
        <v/>
      </c>
      <c r="AG56" s="159" t="str">
        <f t="shared" si="2"/>
        <v/>
      </c>
      <c r="AH56" s="4" t="str">
        <f>IF('Sch2a-Imp Price by ECM'!M57="","",'Sch2a-Imp Price by ECM'!M57)</f>
        <v/>
      </c>
    </row>
    <row r="57" spans="1:34" ht="17" thickBot="1">
      <c r="A57" s="75" t="str">
        <f>IF('Sch2a-Imp Price by ECM'!B58="","",'Sch2a-Imp Price by ECM'!B58)</f>
        <v/>
      </c>
      <c r="B57" s="174" t="str">
        <f>IF('Sch2a-Imp Price by ECM'!D58="","",'Sch2a-Imp Price by ECM'!D58)</f>
        <v/>
      </c>
      <c r="C57" s="400" t="str">
        <f>IF('Sch2a-Imp Price by ECM'!G58="","",'Sch2a-Imp Price by ECM'!G58)</f>
        <v/>
      </c>
      <c r="D57" s="274"/>
      <c r="E57" s="391"/>
      <c r="F57" s="391"/>
      <c r="G57" s="391"/>
      <c r="H57" s="391"/>
      <c r="I57" s="276"/>
      <c r="J57" s="391"/>
      <c r="K57" s="275"/>
      <c r="L57" s="275"/>
      <c r="M57" s="275"/>
      <c r="N57" s="276"/>
      <c r="O57" s="391"/>
      <c r="P57" s="275"/>
      <c r="Q57" s="392"/>
      <c r="R57" s="275"/>
      <c r="S57" s="392"/>
      <c r="T57" s="393"/>
      <c r="U57" s="392"/>
      <c r="V57" s="393"/>
      <c r="W57" s="394"/>
      <c r="X57" s="393"/>
      <c r="Y57" s="390">
        <f t="shared" si="3"/>
        <v>0</v>
      </c>
      <c r="Z57" s="16">
        <f t="shared" si="4"/>
        <v>0</v>
      </c>
      <c r="AA57" s="392"/>
      <c r="AB57" s="393"/>
      <c r="AC57" s="393"/>
      <c r="AD57" s="393"/>
      <c r="AE57" s="139">
        <f t="shared" si="1"/>
        <v>0</v>
      </c>
      <c r="AF57" s="139" t="str">
        <f>IF('Sch2a-Imp Price by ECM'!C58="Yes", 0, 'Sch2a-Imp Price by ECM'!L58)</f>
        <v/>
      </c>
      <c r="AG57" s="159" t="str">
        <f t="shared" si="2"/>
        <v/>
      </c>
      <c r="AH57" s="4" t="str">
        <f>IF('Sch2a-Imp Price by ECM'!M58="","",'Sch2a-Imp Price by ECM'!M58)</f>
        <v/>
      </c>
    </row>
    <row r="58" spans="1:34" ht="17" thickBot="1">
      <c r="A58" s="75" t="str">
        <f>IF('Sch2a-Imp Price by ECM'!B59="","",'Sch2a-Imp Price by ECM'!B59)</f>
        <v/>
      </c>
      <c r="B58" s="174" t="str">
        <f>IF('Sch2a-Imp Price by ECM'!D59="","",'Sch2a-Imp Price by ECM'!D59)</f>
        <v/>
      </c>
      <c r="C58" s="400" t="str">
        <f>IF('Sch2a-Imp Price by ECM'!G59="","",'Sch2a-Imp Price by ECM'!G59)</f>
        <v/>
      </c>
      <c r="D58" s="274"/>
      <c r="E58" s="391"/>
      <c r="F58" s="391"/>
      <c r="G58" s="391"/>
      <c r="H58" s="391"/>
      <c r="I58" s="276"/>
      <c r="J58" s="391"/>
      <c r="K58" s="275"/>
      <c r="L58" s="275"/>
      <c r="M58" s="275"/>
      <c r="N58" s="269"/>
      <c r="O58" s="391"/>
      <c r="P58" s="275"/>
      <c r="Q58" s="392"/>
      <c r="R58" s="275"/>
      <c r="S58" s="392"/>
      <c r="T58" s="393"/>
      <c r="U58" s="392"/>
      <c r="V58" s="393"/>
      <c r="W58" s="394"/>
      <c r="X58" s="393"/>
      <c r="Y58" s="390">
        <f t="shared" si="3"/>
        <v>0</v>
      </c>
      <c r="Z58" s="16">
        <f t="shared" si="4"/>
        <v>0</v>
      </c>
      <c r="AA58" s="392"/>
      <c r="AB58" s="393"/>
      <c r="AC58" s="393"/>
      <c r="AD58" s="393"/>
      <c r="AE58" s="139">
        <f t="shared" si="1"/>
        <v>0</v>
      </c>
      <c r="AF58" s="139" t="str">
        <f>IF('Sch2a-Imp Price by ECM'!C59="Yes", 0, 'Sch2a-Imp Price by ECM'!L59)</f>
        <v/>
      </c>
      <c r="AG58" s="159" t="str">
        <f t="shared" si="2"/>
        <v/>
      </c>
      <c r="AH58" s="4" t="str">
        <f>IF('Sch2a-Imp Price by ECM'!M59="","",'Sch2a-Imp Price by ECM'!M59)</f>
        <v/>
      </c>
    </row>
    <row r="59" spans="1:34" ht="17" thickBot="1">
      <c r="A59" s="75" t="str">
        <f>IF('Sch2a-Imp Price by ECM'!B60="","",'Sch2a-Imp Price by ECM'!B60)</f>
        <v/>
      </c>
      <c r="B59" s="174" t="str">
        <f>IF('Sch2a-Imp Price by ECM'!D60="","",'Sch2a-Imp Price by ECM'!D60)</f>
        <v/>
      </c>
      <c r="C59" s="400" t="str">
        <f>IF('Sch2a-Imp Price by ECM'!G60="","",'Sch2a-Imp Price by ECM'!G60)</f>
        <v/>
      </c>
      <c r="D59" s="274"/>
      <c r="E59" s="391"/>
      <c r="F59" s="391"/>
      <c r="G59" s="391"/>
      <c r="H59" s="391"/>
      <c r="I59" s="276"/>
      <c r="J59" s="391"/>
      <c r="K59" s="275"/>
      <c r="L59" s="275"/>
      <c r="M59" s="275"/>
      <c r="N59" s="269"/>
      <c r="O59" s="391"/>
      <c r="P59" s="275"/>
      <c r="Q59" s="392"/>
      <c r="R59" s="275"/>
      <c r="S59" s="392"/>
      <c r="T59" s="393"/>
      <c r="U59" s="392"/>
      <c r="V59" s="393"/>
      <c r="W59" s="394"/>
      <c r="X59" s="393"/>
      <c r="Y59" s="390">
        <f t="shared" si="3"/>
        <v>0</v>
      </c>
      <c r="Z59" s="16">
        <f t="shared" si="4"/>
        <v>0</v>
      </c>
      <c r="AA59" s="392"/>
      <c r="AB59" s="393"/>
      <c r="AC59" s="393"/>
      <c r="AD59" s="393"/>
      <c r="AE59" s="139">
        <f t="shared" si="1"/>
        <v>0</v>
      </c>
      <c r="AF59" s="139" t="str">
        <f>IF('Sch2a-Imp Price by ECM'!C60="Yes", 0, 'Sch2a-Imp Price by ECM'!L60)</f>
        <v/>
      </c>
      <c r="AG59" s="159" t="str">
        <f t="shared" si="2"/>
        <v/>
      </c>
      <c r="AH59" s="4" t="str">
        <f>IF('Sch2a-Imp Price by ECM'!M60="","",'Sch2a-Imp Price by ECM'!M60)</f>
        <v/>
      </c>
    </row>
    <row r="60" spans="1:34" ht="17" thickBot="1">
      <c r="A60" s="75" t="str">
        <f>IF('Sch2a-Imp Price by ECM'!B61="","",'Sch2a-Imp Price by ECM'!B61)</f>
        <v/>
      </c>
      <c r="B60" s="174" t="str">
        <f>IF('Sch2a-Imp Price by ECM'!D61="","",'Sch2a-Imp Price by ECM'!D61)</f>
        <v/>
      </c>
      <c r="C60" s="400" t="str">
        <f>IF('Sch2a-Imp Price by ECM'!G61="","",'Sch2a-Imp Price by ECM'!G61)</f>
        <v/>
      </c>
      <c r="D60" s="274"/>
      <c r="E60" s="391"/>
      <c r="F60" s="391"/>
      <c r="G60" s="391"/>
      <c r="H60" s="391"/>
      <c r="I60" s="276"/>
      <c r="J60" s="391"/>
      <c r="K60" s="275"/>
      <c r="L60" s="275"/>
      <c r="M60" s="275"/>
      <c r="N60" s="269"/>
      <c r="O60" s="391"/>
      <c r="P60" s="275"/>
      <c r="Q60" s="392"/>
      <c r="R60" s="275"/>
      <c r="S60" s="392"/>
      <c r="T60" s="393"/>
      <c r="U60" s="392"/>
      <c r="V60" s="393"/>
      <c r="W60" s="394"/>
      <c r="X60" s="393"/>
      <c r="Y60" s="390">
        <f t="shared" si="3"/>
        <v>0</v>
      </c>
      <c r="Z60" s="16">
        <f t="shared" si="4"/>
        <v>0</v>
      </c>
      <c r="AA60" s="392"/>
      <c r="AB60" s="393"/>
      <c r="AC60" s="393"/>
      <c r="AD60" s="393"/>
      <c r="AE60" s="139">
        <f t="shared" si="1"/>
        <v>0</v>
      </c>
      <c r="AF60" s="139" t="str">
        <f>IF('Sch2a-Imp Price by ECM'!C61="Yes", 0, 'Sch2a-Imp Price by ECM'!L61)</f>
        <v/>
      </c>
      <c r="AG60" s="159" t="str">
        <f t="shared" si="2"/>
        <v/>
      </c>
      <c r="AH60" s="4" t="str">
        <f>IF('Sch2a-Imp Price by ECM'!M61="","",'Sch2a-Imp Price by ECM'!M61)</f>
        <v/>
      </c>
    </row>
    <row r="61" spans="1:34" ht="17" thickBot="1">
      <c r="A61" s="75" t="str">
        <f>IF('Sch2a-Imp Price by ECM'!B62="","",'Sch2a-Imp Price by ECM'!B62)</f>
        <v/>
      </c>
      <c r="B61" s="174" t="str">
        <f>IF('Sch2a-Imp Price by ECM'!D62="","",'Sch2a-Imp Price by ECM'!D62)</f>
        <v/>
      </c>
      <c r="C61" s="400" t="str">
        <f>IF('Sch2a-Imp Price by ECM'!G62="","",'Sch2a-Imp Price by ECM'!G62)</f>
        <v/>
      </c>
      <c r="D61" s="274"/>
      <c r="E61" s="391"/>
      <c r="F61" s="391"/>
      <c r="G61" s="391"/>
      <c r="H61" s="391"/>
      <c r="I61" s="276"/>
      <c r="J61" s="391"/>
      <c r="K61" s="275"/>
      <c r="L61" s="275"/>
      <c r="M61" s="275"/>
      <c r="N61" s="269"/>
      <c r="O61" s="391"/>
      <c r="P61" s="275"/>
      <c r="Q61" s="392"/>
      <c r="R61" s="275"/>
      <c r="S61" s="392"/>
      <c r="T61" s="393"/>
      <c r="U61" s="392"/>
      <c r="V61" s="393"/>
      <c r="W61" s="394"/>
      <c r="X61" s="393"/>
      <c r="Y61" s="390">
        <f t="shared" si="3"/>
        <v>0</v>
      </c>
      <c r="Z61" s="16">
        <f t="shared" si="4"/>
        <v>0</v>
      </c>
      <c r="AA61" s="392"/>
      <c r="AB61" s="393"/>
      <c r="AC61" s="393"/>
      <c r="AD61" s="393"/>
      <c r="AE61" s="139">
        <f t="shared" si="1"/>
        <v>0</v>
      </c>
      <c r="AF61" s="139" t="str">
        <f>IF('Sch2a-Imp Price by ECM'!C62="Yes", 0, 'Sch2a-Imp Price by ECM'!L62)</f>
        <v/>
      </c>
      <c r="AG61" s="159" t="str">
        <f t="shared" si="2"/>
        <v/>
      </c>
      <c r="AH61" s="4" t="str">
        <f>IF('Sch2a-Imp Price by ECM'!M62="","",'Sch2a-Imp Price by ECM'!M62)</f>
        <v/>
      </c>
    </row>
    <row r="62" spans="1:34" ht="17" thickBot="1">
      <c r="A62" s="75" t="str">
        <f>IF('Sch2a-Imp Price by ECM'!B63="","",'Sch2a-Imp Price by ECM'!B63)</f>
        <v/>
      </c>
      <c r="B62" s="174" t="str">
        <f>IF('Sch2a-Imp Price by ECM'!D63="","",'Sch2a-Imp Price by ECM'!D63)</f>
        <v/>
      </c>
      <c r="C62" s="400" t="str">
        <f>IF('Sch2a-Imp Price by ECM'!G63="","",'Sch2a-Imp Price by ECM'!G63)</f>
        <v/>
      </c>
      <c r="D62" s="274"/>
      <c r="E62" s="391"/>
      <c r="F62" s="391"/>
      <c r="G62" s="391"/>
      <c r="H62" s="391"/>
      <c r="I62" s="276"/>
      <c r="J62" s="391"/>
      <c r="K62" s="275"/>
      <c r="L62" s="275"/>
      <c r="M62" s="275"/>
      <c r="N62" s="269"/>
      <c r="O62" s="391"/>
      <c r="P62" s="275"/>
      <c r="Q62" s="392"/>
      <c r="R62" s="275"/>
      <c r="S62" s="392"/>
      <c r="T62" s="393"/>
      <c r="U62" s="392"/>
      <c r="V62" s="393"/>
      <c r="W62" s="394"/>
      <c r="X62" s="393"/>
      <c r="Y62" s="390">
        <f t="shared" si="3"/>
        <v>0</v>
      </c>
      <c r="Z62" s="16">
        <f t="shared" si="4"/>
        <v>0</v>
      </c>
      <c r="AA62" s="392"/>
      <c r="AB62" s="393"/>
      <c r="AC62" s="393"/>
      <c r="AD62" s="393"/>
      <c r="AE62" s="139">
        <f t="shared" si="1"/>
        <v>0</v>
      </c>
      <c r="AF62" s="139" t="str">
        <f>IF('Sch2a-Imp Price by ECM'!C63="Yes", 0, 'Sch2a-Imp Price by ECM'!L63)</f>
        <v/>
      </c>
      <c r="AG62" s="159" t="str">
        <f t="shared" si="2"/>
        <v/>
      </c>
      <c r="AH62" s="4" t="str">
        <f>IF('Sch2a-Imp Price by ECM'!M63="","",'Sch2a-Imp Price by ECM'!M63)</f>
        <v/>
      </c>
    </row>
    <row r="63" spans="1:34" ht="17" thickBot="1">
      <c r="A63" s="75" t="str">
        <f>IF('Sch2a-Imp Price by ECM'!B64="","",'Sch2a-Imp Price by ECM'!B64)</f>
        <v/>
      </c>
      <c r="B63" s="174" t="str">
        <f>IF('Sch2a-Imp Price by ECM'!D64="","",'Sch2a-Imp Price by ECM'!D64)</f>
        <v/>
      </c>
      <c r="C63" s="400" t="str">
        <f>IF('Sch2a-Imp Price by ECM'!G64="","",'Sch2a-Imp Price by ECM'!G64)</f>
        <v/>
      </c>
      <c r="D63" s="274"/>
      <c r="E63" s="391"/>
      <c r="F63" s="391"/>
      <c r="G63" s="391"/>
      <c r="H63" s="391"/>
      <c r="I63" s="276"/>
      <c r="J63" s="391"/>
      <c r="K63" s="275"/>
      <c r="L63" s="275"/>
      <c r="M63" s="275"/>
      <c r="N63" s="269"/>
      <c r="O63" s="391"/>
      <c r="P63" s="275"/>
      <c r="Q63" s="392"/>
      <c r="R63" s="275"/>
      <c r="S63" s="392"/>
      <c r="T63" s="393"/>
      <c r="U63" s="392"/>
      <c r="V63" s="393"/>
      <c r="W63" s="394"/>
      <c r="X63" s="393"/>
      <c r="Y63" s="390">
        <f t="shared" si="3"/>
        <v>0</v>
      </c>
      <c r="Z63" s="16">
        <f t="shared" si="4"/>
        <v>0</v>
      </c>
      <c r="AA63" s="392"/>
      <c r="AB63" s="393"/>
      <c r="AC63" s="393"/>
      <c r="AD63" s="393"/>
      <c r="AE63" s="139">
        <f t="shared" si="1"/>
        <v>0</v>
      </c>
      <c r="AF63" s="139" t="str">
        <f>IF('Sch2a-Imp Price by ECM'!C64="Yes", 0, 'Sch2a-Imp Price by ECM'!L64)</f>
        <v/>
      </c>
      <c r="AG63" s="159" t="str">
        <f t="shared" si="2"/>
        <v/>
      </c>
      <c r="AH63" s="4" t="str">
        <f>IF('Sch2a-Imp Price by ECM'!M64="","",'Sch2a-Imp Price by ECM'!M64)</f>
        <v/>
      </c>
    </row>
    <row r="64" spans="1:34" ht="17" thickBot="1">
      <c r="A64" s="75" t="str">
        <f>IF('Sch2a-Imp Price by ECM'!B65="","",'Sch2a-Imp Price by ECM'!B65)</f>
        <v/>
      </c>
      <c r="B64" s="174" t="str">
        <f>IF('Sch2a-Imp Price by ECM'!D65="","",'Sch2a-Imp Price by ECM'!D65)</f>
        <v/>
      </c>
      <c r="C64" s="400" t="str">
        <f>IF('Sch2a-Imp Price by ECM'!G65="","",'Sch2a-Imp Price by ECM'!G65)</f>
        <v/>
      </c>
      <c r="D64" s="274"/>
      <c r="E64" s="391"/>
      <c r="F64" s="391"/>
      <c r="G64" s="391"/>
      <c r="H64" s="391"/>
      <c r="I64" s="276"/>
      <c r="J64" s="391"/>
      <c r="K64" s="275"/>
      <c r="L64" s="275"/>
      <c r="M64" s="275"/>
      <c r="N64" s="269"/>
      <c r="O64" s="391"/>
      <c r="P64" s="275"/>
      <c r="Q64" s="392"/>
      <c r="R64" s="275"/>
      <c r="S64" s="392"/>
      <c r="T64" s="393"/>
      <c r="U64" s="392"/>
      <c r="V64" s="393"/>
      <c r="W64" s="394"/>
      <c r="X64" s="393"/>
      <c r="Y64" s="390">
        <f t="shared" si="3"/>
        <v>0</v>
      </c>
      <c r="Z64" s="16">
        <f t="shared" si="4"/>
        <v>0</v>
      </c>
      <c r="AA64" s="392"/>
      <c r="AB64" s="393"/>
      <c r="AC64" s="393"/>
      <c r="AD64" s="393"/>
      <c r="AE64" s="139">
        <f t="shared" si="1"/>
        <v>0</v>
      </c>
      <c r="AF64" s="139" t="str">
        <f>IF('Sch2a-Imp Price by ECM'!C65="Yes", 0, 'Sch2a-Imp Price by ECM'!L65)</f>
        <v/>
      </c>
      <c r="AG64" s="159" t="str">
        <f t="shared" si="2"/>
        <v/>
      </c>
      <c r="AH64" s="4" t="str">
        <f>IF('Sch2a-Imp Price by ECM'!M65="","",'Sch2a-Imp Price by ECM'!M65)</f>
        <v/>
      </c>
    </row>
    <row r="65" spans="1:34" ht="17" thickBot="1">
      <c r="A65" s="75" t="str">
        <f>IF('Sch2a-Imp Price by ECM'!B66="","",'Sch2a-Imp Price by ECM'!B66)</f>
        <v/>
      </c>
      <c r="B65" s="174" t="str">
        <f>IF('Sch2a-Imp Price by ECM'!D66="","",'Sch2a-Imp Price by ECM'!D66)</f>
        <v/>
      </c>
      <c r="C65" s="400" t="str">
        <f>IF('Sch2a-Imp Price by ECM'!G66="","",'Sch2a-Imp Price by ECM'!G66)</f>
        <v/>
      </c>
      <c r="D65" s="274"/>
      <c r="E65" s="391"/>
      <c r="F65" s="391"/>
      <c r="G65" s="391"/>
      <c r="H65" s="391"/>
      <c r="I65" s="276"/>
      <c r="J65" s="391"/>
      <c r="K65" s="275"/>
      <c r="L65" s="275"/>
      <c r="M65" s="275"/>
      <c r="N65" s="269"/>
      <c r="O65" s="391"/>
      <c r="P65" s="275"/>
      <c r="Q65" s="392"/>
      <c r="R65" s="275"/>
      <c r="S65" s="392"/>
      <c r="T65" s="393"/>
      <c r="U65" s="392"/>
      <c r="V65" s="393"/>
      <c r="W65" s="394"/>
      <c r="X65" s="393"/>
      <c r="Y65" s="390">
        <f t="shared" si="3"/>
        <v>0</v>
      </c>
      <c r="Z65" s="16">
        <f t="shared" si="4"/>
        <v>0</v>
      </c>
      <c r="AA65" s="392"/>
      <c r="AB65" s="393"/>
      <c r="AC65" s="393"/>
      <c r="AD65" s="393"/>
      <c r="AE65" s="139">
        <f t="shared" si="1"/>
        <v>0</v>
      </c>
      <c r="AF65" s="139" t="str">
        <f>IF('Sch2a-Imp Price by ECM'!C66="Yes", 0, 'Sch2a-Imp Price by ECM'!L66)</f>
        <v/>
      </c>
      <c r="AG65" s="159" t="str">
        <f t="shared" si="2"/>
        <v/>
      </c>
      <c r="AH65" s="4" t="str">
        <f>IF('Sch2a-Imp Price by ECM'!M66="","",'Sch2a-Imp Price by ECM'!M66)</f>
        <v/>
      </c>
    </row>
    <row r="66" spans="1:34" ht="17" thickBot="1">
      <c r="A66" s="75" t="str">
        <f>IF('Sch2a-Imp Price by ECM'!B67="","",'Sch2a-Imp Price by ECM'!B67)</f>
        <v/>
      </c>
      <c r="B66" s="174" t="str">
        <f>IF('Sch2a-Imp Price by ECM'!D67="","",'Sch2a-Imp Price by ECM'!D67)</f>
        <v/>
      </c>
      <c r="C66" s="400" t="str">
        <f>IF('Sch2a-Imp Price by ECM'!G67="","",'Sch2a-Imp Price by ECM'!G67)</f>
        <v/>
      </c>
      <c r="D66" s="274"/>
      <c r="E66" s="391"/>
      <c r="F66" s="391"/>
      <c r="G66" s="391"/>
      <c r="H66" s="391"/>
      <c r="I66" s="276"/>
      <c r="J66" s="391"/>
      <c r="K66" s="275"/>
      <c r="L66" s="275"/>
      <c r="M66" s="275"/>
      <c r="N66" s="269"/>
      <c r="O66" s="391"/>
      <c r="P66" s="275"/>
      <c r="Q66" s="392"/>
      <c r="R66" s="275"/>
      <c r="S66" s="392"/>
      <c r="T66" s="393"/>
      <c r="U66" s="392"/>
      <c r="V66" s="393"/>
      <c r="W66" s="394"/>
      <c r="X66" s="393"/>
      <c r="Y66" s="390">
        <f t="shared" si="3"/>
        <v>0</v>
      </c>
      <c r="Z66" s="16">
        <f t="shared" si="4"/>
        <v>0</v>
      </c>
      <c r="AA66" s="392"/>
      <c r="AB66" s="393"/>
      <c r="AC66" s="393"/>
      <c r="AD66" s="393"/>
      <c r="AE66" s="139">
        <f t="shared" si="1"/>
        <v>0</v>
      </c>
      <c r="AF66" s="139" t="str">
        <f>IF('Sch2a-Imp Price by ECM'!C67="Yes", 0, 'Sch2a-Imp Price by ECM'!L67)</f>
        <v/>
      </c>
      <c r="AG66" s="159" t="str">
        <f t="shared" si="2"/>
        <v/>
      </c>
      <c r="AH66" s="4" t="str">
        <f>IF('Sch2a-Imp Price by ECM'!M67="","",'Sch2a-Imp Price by ECM'!M67)</f>
        <v/>
      </c>
    </row>
    <row r="67" spans="1:34" ht="17" thickBot="1">
      <c r="A67" s="75" t="str">
        <f>IF('Sch2a-Imp Price by ECM'!B68="","",'Sch2a-Imp Price by ECM'!B68)</f>
        <v/>
      </c>
      <c r="B67" s="174" t="str">
        <f>IF('Sch2a-Imp Price by ECM'!D68="","",'Sch2a-Imp Price by ECM'!D68)</f>
        <v/>
      </c>
      <c r="C67" s="400" t="str">
        <f>IF('Sch2a-Imp Price by ECM'!G68="","",'Sch2a-Imp Price by ECM'!G68)</f>
        <v/>
      </c>
      <c r="D67" s="274"/>
      <c r="E67" s="391"/>
      <c r="F67" s="391"/>
      <c r="G67" s="391"/>
      <c r="H67" s="391"/>
      <c r="I67" s="276"/>
      <c r="J67" s="391"/>
      <c r="K67" s="275"/>
      <c r="L67" s="275"/>
      <c r="M67" s="275"/>
      <c r="N67" s="269"/>
      <c r="O67" s="391"/>
      <c r="P67" s="275"/>
      <c r="Q67" s="392"/>
      <c r="R67" s="275"/>
      <c r="S67" s="392"/>
      <c r="T67" s="393"/>
      <c r="U67" s="392"/>
      <c r="V67" s="393"/>
      <c r="W67" s="394"/>
      <c r="X67" s="393"/>
      <c r="Y67" s="390">
        <f t="shared" si="3"/>
        <v>0</v>
      </c>
      <c r="Z67" s="16">
        <f t="shared" si="4"/>
        <v>0</v>
      </c>
      <c r="AA67" s="392"/>
      <c r="AB67" s="393"/>
      <c r="AC67" s="393"/>
      <c r="AD67" s="393"/>
      <c r="AE67" s="139">
        <f t="shared" si="1"/>
        <v>0</v>
      </c>
      <c r="AF67" s="139" t="str">
        <f>IF('Sch2a-Imp Price by ECM'!C68="Yes", 0, 'Sch2a-Imp Price by ECM'!L68)</f>
        <v/>
      </c>
      <c r="AG67" s="159" t="str">
        <f t="shared" si="2"/>
        <v/>
      </c>
      <c r="AH67" s="4" t="str">
        <f>IF('Sch2a-Imp Price by ECM'!M68="","",'Sch2a-Imp Price by ECM'!M68)</f>
        <v/>
      </c>
    </row>
    <row r="68" spans="1:34" ht="17" thickBot="1">
      <c r="A68" s="75" t="str">
        <f>IF('Sch2a-Imp Price by ECM'!B69="","",'Sch2a-Imp Price by ECM'!B69)</f>
        <v/>
      </c>
      <c r="B68" s="174" t="str">
        <f>IF('Sch2a-Imp Price by ECM'!D69="","",'Sch2a-Imp Price by ECM'!D69)</f>
        <v/>
      </c>
      <c r="C68" s="400" t="str">
        <f>IF('Sch2a-Imp Price by ECM'!G69="","",'Sch2a-Imp Price by ECM'!G69)</f>
        <v/>
      </c>
      <c r="D68" s="274"/>
      <c r="E68" s="391"/>
      <c r="F68" s="391"/>
      <c r="G68" s="391"/>
      <c r="H68" s="391"/>
      <c r="I68" s="276"/>
      <c r="J68" s="391"/>
      <c r="K68" s="275"/>
      <c r="L68" s="275"/>
      <c r="M68" s="275"/>
      <c r="N68" s="269"/>
      <c r="O68" s="391"/>
      <c r="P68" s="275"/>
      <c r="Q68" s="392"/>
      <c r="R68" s="275"/>
      <c r="S68" s="392"/>
      <c r="T68" s="393"/>
      <c r="U68" s="392"/>
      <c r="V68" s="393"/>
      <c r="W68" s="394"/>
      <c r="X68" s="393"/>
      <c r="Y68" s="390">
        <f t="shared" si="3"/>
        <v>0</v>
      </c>
      <c r="Z68" s="16">
        <f t="shared" si="4"/>
        <v>0</v>
      </c>
      <c r="AA68" s="392"/>
      <c r="AB68" s="393"/>
      <c r="AC68" s="393"/>
      <c r="AD68" s="393"/>
      <c r="AE68" s="139">
        <f t="shared" si="1"/>
        <v>0</v>
      </c>
      <c r="AF68" s="139" t="str">
        <f>IF('Sch2a-Imp Price by ECM'!C69="Yes", 0, 'Sch2a-Imp Price by ECM'!L69)</f>
        <v/>
      </c>
      <c r="AG68" s="159" t="str">
        <f t="shared" si="2"/>
        <v/>
      </c>
      <c r="AH68" s="4" t="str">
        <f>IF('Sch2a-Imp Price by ECM'!M69="","",'Sch2a-Imp Price by ECM'!M69)</f>
        <v/>
      </c>
    </row>
    <row r="69" spans="1:34" ht="17" thickBot="1">
      <c r="A69" s="75" t="str">
        <f>IF('Sch2a-Imp Price by ECM'!B70="","",'Sch2a-Imp Price by ECM'!B70)</f>
        <v/>
      </c>
      <c r="B69" s="174" t="str">
        <f>IF('Sch2a-Imp Price by ECM'!D70="","",'Sch2a-Imp Price by ECM'!D70)</f>
        <v/>
      </c>
      <c r="C69" s="400" t="str">
        <f>IF('Sch2a-Imp Price by ECM'!G70="","",'Sch2a-Imp Price by ECM'!G70)</f>
        <v/>
      </c>
      <c r="D69" s="274"/>
      <c r="E69" s="391"/>
      <c r="F69" s="391"/>
      <c r="G69" s="391"/>
      <c r="H69" s="391"/>
      <c r="I69" s="276"/>
      <c r="J69" s="391"/>
      <c r="K69" s="275"/>
      <c r="L69" s="275"/>
      <c r="M69" s="275"/>
      <c r="N69" s="269"/>
      <c r="O69" s="391"/>
      <c r="P69" s="275"/>
      <c r="Q69" s="392"/>
      <c r="R69" s="275"/>
      <c r="S69" s="392"/>
      <c r="T69" s="393"/>
      <c r="U69" s="392"/>
      <c r="V69" s="393"/>
      <c r="W69" s="394"/>
      <c r="X69" s="393"/>
      <c r="Y69" s="390">
        <f t="shared" si="3"/>
        <v>0</v>
      </c>
      <c r="Z69" s="16">
        <f t="shared" si="4"/>
        <v>0</v>
      </c>
      <c r="AA69" s="392"/>
      <c r="AB69" s="393"/>
      <c r="AC69" s="393"/>
      <c r="AD69" s="393"/>
      <c r="AE69" s="139">
        <f t="shared" si="1"/>
        <v>0</v>
      </c>
      <c r="AF69" s="139" t="str">
        <f>IF('Sch2a-Imp Price by ECM'!C70="Yes", 0, 'Sch2a-Imp Price by ECM'!L70)</f>
        <v/>
      </c>
      <c r="AG69" s="159" t="str">
        <f t="shared" si="2"/>
        <v/>
      </c>
      <c r="AH69" s="4" t="str">
        <f>IF('Sch2a-Imp Price by ECM'!M70="","",'Sch2a-Imp Price by ECM'!M70)</f>
        <v/>
      </c>
    </row>
    <row r="70" spans="1:34" ht="17" thickBot="1">
      <c r="A70" s="75" t="str">
        <f>IF('Sch2a-Imp Price by ECM'!B71="","",'Sch2a-Imp Price by ECM'!B71)</f>
        <v/>
      </c>
      <c r="B70" s="174" t="str">
        <f>IF('Sch2a-Imp Price by ECM'!D71="","",'Sch2a-Imp Price by ECM'!D71)</f>
        <v/>
      </c>
      <c r="C70" s="400" t="str">
        <f>IF('Sch2a-Imp Price by ECM'!G71="","",'Sch2a-Imp Price by ECM'!G71)</f>
        <v/>
      </c>
      <c r="D70" s="274"/>
      <c r="E70" s="391"/>
      <c r="F70" s="391"/>
      <c r="G70" s="391"/>
      <c r="H70" s="391"/>
      <c r="I70" s="276"/>
      <c r="J70" s="391"/>
      <c r="K70" s="275"/>
      <c r="L70" s="275"/>
      <c r="M70" s="275"/>
      <c r="N70" s="269"/>
      <c r="O70" s="391"/>
      <c r="P70" s="275"/>
      <c r="Q70" s="392"/>
      <c r="R70" s="275"/>
      <c r="S70" s="392"/>
      <c r="T70" s="393"/>
      <c r="U70" s="392"/>
      <c r="V70" s="393"/>
      <c r="W70" s="394"/>
      <c r="X70" s="393"/>
      <c r="Y70" s="390">
        <f t="shared" si="3"/>
        <v>0</v>
      </c>
      <c r="Z70" s="16">
        <f t="shared" si="4"/>
        <v>0</v>
      </c>
      <c r="AA70" s="392"/>
      <c r="AB70" s="393"/>
      <c r="AC70" s="393"/>
      <c r="AD70" s="393"/>
      <c r="AE70" s="139">
        <f t="shared" si="1"/>
        <v>0</v>
      </c>
      <c r="AF70" s="139" t="str">
        <f>IF('Sch2a-Imp Price by ECM'!C71="Yes", 0, 'Sch2a-Imp Price by ECM'!L71)</f>
        <v/>
      </c>
      <c r="AG70" s="159" t="str">
        <f t="shared" si="2"/>
        <v/>
      </c>
      <c r="AH70" s="4" t="str">
        <f>IF('Sch2a-Imp Price by ECM'!M71="","",'Sch2a-Imp Price by ECM'!M71)</f>
        <v/>
      </c>
    </row>
    <row r="71" spans="1:34" ht="17" thickBot="1">
      <c r="A71" s="75" t="str">
        <f>IF('Sch2a-Imp Price by ECM'!B72="","",'Sch2a-Imp Price by ECM'!B72)</f>
        <v/>
      </c>
      <c r="B71" s="174" t="str">
        <f>IF('Sch2a-Imp Price by ECM'!D72="","",'Sch2a-Imp Price by ECM'!D72)</f>
        <v/>
      </c>
      <c r="C71" s="400" t="str">
        <f>IF('Sch2a-Imp Price by ECM'!G72="","",'Sch2a-Imp Price by ECM'!G72)</f>
        <v/>
      </c>
      <c r="D71" s="274"/>
      <c r="E71" s="391"/>
      <c r="F71" s="391"/>
      <c r="G71" s="391"/>
      <c r="H71" s="391"/>
      <c r="I71" s="276"/>
      <c r="J71" s="391"/>
      <c r="K71" s="275"/>
      <c r="L71" s="275"/>
      <c r="M71" s="275"/>
      <c r="N71" s="269"/>
      <c r="O71" s="391"/>
      <c r="P71" s="275"/>
      <c r="Q71" s="392"/>
      <c r="R71" s="275"/>
      <c r="S71" s="392"/>
      <c r="T71" s="393"/>
      <c r="U71" s="392"/>
      <c r="V71" s="393"/>
      <c r="W71" s="394"/>
      <c r="X71" s="393"/>
      <c r="Y71" s="390">
        <f t="shared" si="3"/>
        <v>0</v>
      </c>
      <c r="Z71" s="16">
        <f t="shared" si="4"/>
        <v>0</v>
      </c>
      <c r="AA71" s="392"/>
      <c r="AB71" s="393"/>
      <c r="AC71" s="393"/>
      <c r="AD71" s="393"/>
      <c r="AE71" s="139">
        <f t="shared" si="1"/>
        <v>0</v>
      </c>
      <c r="AF71" s="139" t="str">
        <f>IF('Sch2a-Imp Price by ECM'!C72="Yes", 0, 'Sch2a-Imp Price by ECM'!L72)</f>
        <v/>
      </c>
      <c r="AG71" s="159" t="str">
        <f t="shared" si="2"/>
        <v/>
      </c>
      <c r="AH71" s="4" t="str">
        <f>IF('Sch2a-Imp Price by ECM'!M72="","",'Sch2a-Imp Price by ECM'!M72)</f>
        <v/>
      </c>
    </row>
    <row r="72" spans="1:34" ht="17" thickBot="1">
      <c r="A72" s="75" t="str">
        <f>IF('Sch2a-Imp Price by ECM'!B73="","",'Sch2a-Imp Price by ECM'!B73)</f>
        <v/>
      </c>
      <c r="B72" s="174" t="str">
        <f>IF('Sch2a-Imp Price by ECM'!D73="","",'Sch2a-Imp Price by ECM'!D73)</f>
        <v/>
      </c>
      <c r="C72" s="400" t="str">
        <f>IF('Sch2a-Imp Price by ECM'!G73="","",'Sch2a-Imp Price by ECM'!G73)</f>
        <v/>
      </c>
      <c r="D72" s="274"/>
      <c r="E72" s="391"/>
      <c r="F72" s="391"/>
      <c r="G72" s="391"/>
      <c r="H72" s="391"/>
      <c r="I72" s="276"/>
      <c r="J72" s="391"/>
      <c r="K72" s="275"/>
      <c r="L72" s="275"/>
      <c r="M72" s="275"/>
      <c r="N72" s="276"/>
      <c r="O72" s="391"/>
      <c r="P72" s="275"/>
      <c r="Q72" s="392"/>
      <c r="R72" s="275"/>
      <c r="S72" s="392"/>
      <c r="T72" s="393"/>
      <c r="U72" s="392"/>
      <c r="V72" s="393"/>
      <c r="W72" s="394"/>
      <c r="X72" s="393"/>
      <c r="Y72" s="390">
        <f t="shared" si="3"/>
        <v>0</v>
      </c>
      <c r="Z72" s="16">
        <f t="shared" si="4"/>
        <v>0</v>
      </c>
      <c r="AA72" s="392"/>
      <c r="AB72" s="393"/>
      <c r="AC72" s="393"/>
      <c r="AD72" s="393"/>
      <c r="AE72" s="139">
        <f t="shared" si="1"/>
        <v>0</v>
      </c>
      <c r="AF72" s="139" t="str">
        <f>IF('Sch2a-Imp Price by ECM'!C73="Yes", 0, 'Sch2a-Imp Price by ECM'!L73)</f>
        <v/>
      </c>
      <c r="AG72" s="159" t="str">
        <f t="shared" si="2"/>
        <v/>
      </c>
      <c r="AH72" s="4" t="str">
        <f>IF('Sch2a-Imp Price by ECM'!M73="","",'Sch2a-Imp Price by ECM'!M73)</f>
        <v/>
      </c>
    </row>
    <row r="73" spans="1:34" ht="17" thickBot="1">
      <c r="A73" s="75" t="str">
        <f>IF('Sch2a-Imp Price by ECM'!B74="","",'Sch2a-Imp Price by ECM'!B74)</f>
        <v/>
      </c>
      <c r="B73" s="174" t="str">
        <f>IF('Sch2a-Imp Price by ECM'!D74="","",'Sch2a-Imp Price by ECM'!D74)</f>
        <v/>
      </c>
      <c r="C73" s="400" t="str">
        <f>IF('Sch2a-Imp Price by ECM'!G74="","",'Sch2a-Imp Price by ECM'!G74)</f>
        <v/>
      </c>
      <c r="D73" s="274"/>
      <c r="E73" s="391"/>
      <c r="F73" s="391"/>
      <c r="G73" s="391"/>
      <c r="H73" s="391"/>
      <c r="I73" s="276"/>
      <c r="J73" s="391"/>
      <c r="K73" s="275"/>
      <c r="L73" s="275"/>
      <c r="M73" s="275"/>
      <c r="N73" s="276"/>
      <c r="O73" s="391"/>
      <c r="P73" s="275"/>
      <c r="Q73" s="392"/>
      <c r="R73" s="275"/>
      <c r="S73" s="392"/>
      <c r="T73" s="393"/>
      <c r="U73" s="392"/>
      <c r="V73" s="393"/>
      <c r="W73" s="394"/>
      <c r="X73" s="393"/>
      <c r="Y73" s="390">
        <f t="shared" si="3"/>
        <v>0</v>
      </c>
      <c r="Z73" s="16">
        <f t="shared" ref="Z73:Z136" si="5">P73+R73+V73+X73+T73</f>
        <v>0</v>
      </c>
      <c r="AA73" s="392"/>
      <c r="AB73" s="393"/>
      <c r="AC73" s="393"/>
      <c r="AD73" s="393"/>
      <c r="AE73" s="139">
        <f t="shared" ref="AE73:AE136" si="6">Z73+AB73+AC73+AD73</f>
        <v>0</v>
      </c>
      <c r="AF73" s="139" t="str">
        <f>IF('Sch2a-Imp Price by ECM'!C74="Yes", 0, 'Sch2a-Imp Price by ECM'!L74)</f>
        <v/>
      </c>
      <c r="AG73" s="159" t="str">
        <f t="shared" ref="AG73:AG136" si="7">IF(AF73="","",AF73/AE73)</f>
        <v/>
      </c>
      <c r="AH73" s="4" t="str">
        <f>IF('Sch2a-Imp Price by ECM'!M74="","",'Sch2a-Imp Price by ECM'!M74)</f>
        <v/>
      </c>
    </row>
    <row r="74" spans="1:34" ht="17" thickBot="1">
      <c r="A74" s="75" t="str">
        <f>IF('Sch2a-Imp Price by ECM'!B75="","",'Sch2a-Imp Price by ECM'!B75)</f>
        <v/>
      </c>
      <c r="B74" s="174" t="str">
        <f>IF('Sch2a-Imp Price by ECM'!D75="","",'Sch2a-Imp Price by ECM'!D75)</f>
        <v/>
      </c>
      <c r="C74" s="400" t="str">
        <f>IF('Sch2a-Imp Price by ECM'!G75="","",'Sch2a-Imp Price by ECM'!G75)</f>
        <v/>
      </c>
      <c r="D74" s="274"/>
      <c r="E74" s="391"/>
      <c r="F74" s="391"/>
      <c r="G74" s="391"/>
      <c r="H74" s="391"/>
      <c r="I74" s="276"/>
      <c r="J74" s="391"/>
      <c r="K74" s="275"/>
      <c r="L74" s="275"/>
      <c r="M74" s="275"/>
      <c r="N74" s="276"/>
      <c r="O74" s="391"/>
      <c r="P74" s="275"/>
      <c r="Q74" s="392"/>
      <c r="R74" s="275"/>
      <c r="S74" s="392"/>
      <c r="T74" s="393"/>
      <c r="U74" s="392"/>
      <c r="V74" s="393"/>
      <c r="W74" s="394"/>
      <c r="X74" s="393"/>
      <c r="Y74" s="390">
        <f t="shared" si="3"/>
        <v>0</v>
      </c>
      <c r="Z74" s="16">
        <f t="shared" si="5"/>
        <v>0</v>
      </c>
      <c r="AA74" s="392"/>
      <c r="AB74" s="393"/>
      <c r="AC74" s="393"/>
      <c r="AD74" s="393"/>
      <c r="AE74" s="139">
        <f t="shared" si="6"/>
        <v>0</v>
      </c>
      <c r="AF74" s="139" t="str">
        <f>IF('Sch2a-Imp Price by ECM'!C75="Yes", 0, 'Sch2a-Imp Price by ECM'!L75)</f>
        <v/>
      </c>
      <c r="AG74" s="159" t="str">
        <f t="shared" si="7"/>
        <v/>
      </c>
      <c r="AH74" s="4" t="str">
        <f>IF('Sch2a-Imp Price by ECM'!M75="","",'Sch2a-Imp Price by ECM'!M75)</f>
        <v/>
      </c>
    </row>
    <row r="75" spans="1:34" ht="17" thickBot="1">
      <c r="A75" s="75" t="str">
        <f>IF('Sch2a-Imp Price by ECM'!B76="","",'Sch2a-Imp Price by ECM'!B76)</f>
        <v/>
      </c>
      <c r="B75" s="174" t="str">
        <f>IF('Sch2a-Imp Price by ECM'!D76="","",'Sch2a-Imp Price by ECM'!D76)</f>
        <v/>
      </c>
      <c r="C75" s="400" t="str">
        <f>IF('Sch2a-Imp Price by ECM'!G76="","",'Sch2a-Imp Price by ECM'!G76)</f>
        <v/>
      </c>
      <c r="D75" s="274"/>
      <c r="E75" s="391"/>
      <c r="F75" s="391"/>
      <c r="G75" s="391"/>
      <c r="H75" s="391"/>
      <c r="I75" s="276"/>
      <c r="J75" s="391"/>
      <c r="K75" s="275"/>
      <c r="L75" s="275"/>
      <c r="M75" s="275"/>
      <c r="N75" s="276"/>
      <c r="O75" s="391"/>
      <c r="P75" s="275"/>
      <c r="Q75" s="392"/>
      <c r="R75" s="275"/>
      <c r="S75" s="392"/>
      <c r="T75" s="393"/>
      <c r="U75" s="392"/>
      <c r="V75" s="393"/>
      <c r="W75" s="394"/>
      <c r="X75" s="393"/>
      <c r="Y75" s="390">
        <f t="shared" ref="Y75:Y138" si="8">(O75*3412/10^6)+S75+U75+W75</f>
        <v>0</v>
      </c>
      <c r="Z75" s="16">
        <f t="shared" si="5"/>
        <v>0</v>
      </c>
      <c r="AA75" s="392"/>
      <c r="AB75" s="393"/>
      <c r="AC75" s="393"/>
      <c r="AD75" s="393"/>
      <c r="AE75" s="139">
        <f t="shared" si="6"/>
        <v>0</v>
      </c>
      <c r="AF75" s="139" t="str">
        <f>IF('Sch2a-Imp Price by ECM'!C76="Yes", 0, 'Sch2a-Imp Price by ECM'!L76)</f>
        <v/>
      </c>
      <c r="AG75" s="159" t="str">
        <f t="shared" si="7"/>
        <v/>
      </c>
      <c r="AH75" s="4" t="str">
        <f>IF('Sch2a-Imp Price by ECM'!M76="","",'Sch2a-Imp Price by ECM'!M76)</f>
        <v/>
      </c>
    </row>
    <row r="76" spans="1:34" ht="18" customHeight="1" thickBot="1">
      <c r="A76" s="75" t="str">
        <f>IF('Sch2a-Imp Price by ECM'!B77="","",'Sch2a-Imp Price by ECM'!B77)</f>
        <v/>
      </c>
      <c r="B76" s="174" t="str">
        <f>IF('Sch2a-Imp Price by ECM'!D77="","",'Sch2a-Imp Price by ECM'!D77)</f>
        <v/>
      </c>
      <c r="C76" s="400" t="str">
        <f>IF('Sch2a-Imp Price by ECM'!G77="","",'Sch2a-Imp Price by ECM'!G77)</f>
        <v/>
      </c>
      <c r="D76" s="274"/>
      <c r="E76" s="391"/>
      <c r="F76" s="391"/>
      <c r="G76" s="391"/>
      <c r="H76" s="391"/>
      <c r="I76" s="276"/>
      <c r="J76" s="391"/>
      <c r="K76" s="275"/>
      <c r="L76" s="275"/>
      <c r="M76" s="275"/>
      <c r="N76" s="276"/>
      <c r="O76" s="391"/>
      <c r="P76" s="275"/>
      <c r="Q76" s="392"/>
      <c r="R76" s="275"/>
      <c r="S76" s="392"/>
      <c r="T76" s="393"/>
      <c r="U76" s="392"/>
      <c r="V76" s="393"/>
      <c r="W76" s="394"/>
      <c r="X76" s="393"/>
      <c r="Y76" s="390">
        <f t="shared" si="8"/>
        <v>0</v>
      </c>
      <c r="Z76" s="16">
        <f t="shared" si="5"/>
        <v>0</v>
      </c>
      <c r="AA76" s="392"/>
      <c r="AB76" s="393"/>
      <c r="AC76" s="393"/>
      <c r="AD76" s="393"/>
      <c r="AE76" s="139">
        <f t="shared" si="6"/>
        <v>0</v>
      </c>
      <c r="AF76" s="139" t="str">
        <f>IF('Sch2a-Imp Price by ECM'!C77="Yes", 0, 'Sch2a-Imp Price by ECM'!L77)</f>
        <v/>
      </c>
      <c r="AG76" s="159" t="str">
        <f t="shared" si="7"/>
        <v/>
      </c>
      <c r="AH76" s="4" t="str">
        <f>IF('Sch2a-Imp Price by ECM'!M77="","",'Sch2a-Imp Price by ECM'!M77)</f>
        <v/>
      </c>
    </row>
    <row r="77" spans="1:34" ht="17" thickBot="1">
      <c r="A77" s="75" t="str">
        <f>IF('Sch2a-Imp Price by ECM'!B78="","",'Sch2a-Imp Price by ECM'!B78)</f>
        <v/>
      </c>
      <c r="B77" s="174" t="str">
        <f>IF('Sch2a-Imp Price by ECM'!D78="","",'Sch2a-Imp Price by ECM'!D78)</f>
        <v/>
      </c>
      <c r="C77" s="400" t="str">
        <f>IF('Sch2a-Imp Price by ECM'!G78="","",'Sch2a-Imp Price by ECM'!G78)</f>
        <v/>
      </c>
      <c r="D77" s="274"/>
      <c r="E77" s="391"/>
      <c r="F77" s="391"/>
      <c r="G77" s="391"/>
      <c r="H77" s="391"/>
      <c r="I77" s="276"/>
      <c r="J77" s="391"/>
      <c r="K77" s="275"/>
      <c r="L77" s="275"/>
      <c r="M77" s="275"/>
      <c r="N77" s="276"/>
      <c r="O77" s="391"/>
      <c r="P77" s="275"/>
      <c r="Q77" s="392"/>
      <c r="R77" s="275"/>
      <c r="S77" s="392"/>
      <c r="T77" s="393"/>
      <c r="U77" s="392"/>
      <c r="V77" s="393"/>
      <c r="W77" s="394"/>
      <c r="X77" s="393"/>
      <c r="Y77" s="390">
        <f t="shared" si="8"/>
        <v>0</v>
      </c>
      <c r="Z77" s="16">
        <f t="shared" si="5"/>
        <v>0</v>
      </c>
      <c r="AA77" s="392"/>
      <c r="AB77" s="393"/>
      <c r="AC77" s="393"/>
      <c r="AD77" s="393"/>
      <c r="AE77" s="139">
        <f t="shared" si="6"/>
        <v>0</v>
      </c>
      <c r="AF77" s="139" t="str">
        <f>IF('Sch2a-Imp Price by ECM'!C78="Yes", 0, 'Sch2a-Imp Price by ECM'!L78)</f>
        <v/>
      </c>
      <c r="AG77" s="159" t="str">
        <f t="shared" si="7"/>
        <v/>
      </c>
      <c r="AH77" s="4" t="str">
        <f>IF('Sch2a-Imp Price by ECM'!M78="","",'Sch2a-Imp Price by ECM'!M78)</f>
        <v/>
      </c>
    </row>
    <row r="78" spans="1:34" ht="17" thickBot="1">
      <c r="A78" s="75" t="str">
        <f>IF('Sch2a-Imp Price by ECM'!B79="","",'Sch2a-Imp Price by ECM'!B79)</f>
        <v/>
      </c>
      <c r="B78" s="174" t="str">
        <f>IF('Sch2a-Imp Price by ECM'!D79="","",'Sch2a-Imp Price by ECM'!D79)</f>
        <v/>
      </c>
      <c r="C78" s="400" t="str">
        <f>IF('Sch2a-Imp Price by ECM'!G79="","",'Sch2a-Imp Price by ECM'!G79)</f>
        <v/>
      </c>
      <c r="D78" s="274"/>
      <c r="E78" s="391"/>
      <c r="F78" s="391"/>
      <c r="G78" s="391"/>
      <c r="H78" s="391"/>
      <c r="I78" s="276"/>
      <c r="J78" s="391"/>
      <c r="K78" s="275"/>
      <c r="L78" s="275"/>
      <c r="M78" s="275"/>
      <c r="N78" s="276"/>
      <c r="O78" s="391"/>
      <c r="P78" s="275"/>
      <c r="Q78" s="392"/>
      <c r="R78" s="275"/>
      <c r="S78" s="392"/>
      <c r="T78" s="393"/>
      <c r="U78" s="392"/>
      <c r="V78" s="393"/>
      <c r="W78" s="394"/>
      <c r="X78" s="393"/>
      <c r="Y78" s="390">
        <f t="shared" si="8"/>
        <v>0</v>
      </c>
      <c r="Z78" s="16">
        <f t="shared" si="5"/>
        <v>0</v>
      </c>
      <c r="AA78" s="392"/>
      <c r="AB78" s="393"/>
      <c r="AC78" s="393"/>
      <c r="AD78" s="393"/>
      <c r="AE78" s="139">
        <f t="shared" si="6"/>
        <v>0</v>
      </c>
      <c r="AF78" s="139" t="str">
        <f>IF('Sch2a-Imp Price by ECM'!C79="Yes", 0, 'Sch2a-Imp Price by ECM'!L79)</f>
        <v/>
      </c>
      <c r="AG78" s="159" t="str">
        <f t="shared" si="7"/>
        <v/>
      </c>
      <c r="AH78" s="4" t="str">
        <f>IF('Sch2a-Imp Price by ECM'!M79="","",'Sch2a-Imp Price by ECM'!M79)</f>
        <v/>
      </c>
    </row>
    <row r="79" spans="1:34" ht="17" thickBot="1">
      <c r="A79" s="75" t="str">
        <f>IF('Sch2a-Imp Price by ECM'!B80="","",'Sch2a-Imp Price by ECM'!B80)</f>
        <v/>
      </c>
      <c r="B79" s="174" t="str">
        <f>IF('Sch2a-Imp Price by ECM'!D80="","",'Sch2a-Imp Price by ECM'!D80)</f>
        <v/>
      </c>
      <c r="C79" s="400" t="str">
        <f>IF('Sch2a-Imp Price by ECM'!G80="","",'Sch2a-Imp Price by ECM'!G80)</f>
        <v/>
      </c>
      <c r="D79" s="274"/>
      <c r="E79" s="391"/>
      <c r="F79" s="391"/>
      <c r="G79" s="391"/>
      <c r="H79" s="391"/>
      <c r="I79" s="276"/>
      <c r="J79" s="391"/>
      <c r="K79" s="275"/>
      <c r="L79" s="275"/>
      <c r="M79" s="275"/>
      <c r="N79" s="269"/>
      <c r="O79" s="391"/>
      <c r="P79" s="275"/>
      <c r="Q79" s="392"/>
      <c r="R79" s="275"/>
      <c r="S79" s="392"/>
      <c r="T79" s="393"/>
      <c r="U79" s="392"/>
      <c r="V79" s="393"/>
      <c r="W79" s="394"/>
      <c r="X79" s="393"/>
      <c r="Y79" s="390">
        <f t="shared" si="8"/>
        <v>0</v>
      </c>
      <c r="Z79" s="16">
        <f t="shared" si="5"/>
        <v>0</v>
      </c>
      <c r="AA79" s="392"/>
      <c r="AB79" s="393"/>
      <c r="AC79" s="393"/>
      <c r="AD79" s="393"/>
      <c r="AE79" s="139">
        <f t="shared" si="6"/>
        <v>0</v>
      </c>
      <c r="AF79" s="139" t="str">
        <f>IF('Sch2a-Imp Price by ECM'!C80="Yes", 0, 'Sch2a-Imp Price by ECM'!L80)</f>
        <v/>
      </c>
      <c r="AG79" s="159" t="str">
        <f t="shared" si="7"/>
        <v/>
      </c>
      <c r="AH79" s="4" t="str">
        <f>IF('Sch2a-Imp Price by ECM'!M80="","",'Sch2a-Imp Price by ECM'!M80)</f>
        <v/>
      </c>
    </row>
    <row r="80" spans="1:34" ht="17" thickBot="1">
      <c r="A80" s="75" t="str">
        <f>IF('Sch2a-Imp Price by ECM'!B81="","",'Sch2a-Imp Price by ECM'!B81)</f>
        <v/>
      </c>
      <c r="B80" s="174" t="str">
        <f>IF('Sch2a-Imp Price by ECM'!D81="","",'Sch2a-Imp Price by ECM'!D81)</f>
        <v/>
      </c>
      <c r="C80" s="400" t="str">
        <f>IF('Sch2a-Imp Price by ECM'!G81="","",'Sch2a-Imp Price by ECM'!G81)</f>
        <v/>
      </c>
      <c r="D80" s="274"/>
      <c r="E80" s="391"/>
      <c r="F80" s="391"/>
      <c r="G80" s="391"/>
      <c r="H80" s="391"/>
      <c r="I80" s="276"/>
      <c r="J80" s="391"/>
      <c r="K80" s="275"/>
      <c r="L80" s="275"/>
      <c r="M80" s="275"/>
      <c r="N80" s="269"/>
      <c r="O80" s="391"/>
      <c r="P80" s="275"/>
      <c r="Q80" s="392"/>
      <c r="R80" s="275"/>
      <c r="S80" s="392"/>
      <c r="T80" s="393"/>
      <c r="U80" s="392"/>
      <c r="V80" s="393"/>
      <c r="W80" s="394"/>
      <c r="X80" s="393"/>
      <c r="Y80" s="390">
        <f t="shared" si="8"/>
        <v>0</v>
      </c>
      <c r="Z80" s="16">
        <f t="shared" si="5"/>
        <v>0</v>
      </c>
      <c r="AA80" s="392"/>
      <c r="AB80" s="393"/>
      <c r="AC80" s="393"/>
      <c r="AD80" s="393"/>
      <c r="AE80" s="139">
        <f t="shared" si="6"/>
        <v>0</v>
      </c>
      <c r="AF80" s="139" t="str">
        <f>IF('Sch2a-Imp Price by ECM'!C81="Yes", 0, 'Sch2a-Imp Price by ECM'!L81)</f>
        <v/>
      </c>
      <c r="AG80" s="159" t="str">
        <f t="shared" si="7"/>
        <v/>
      </c>
      <c r="AH80" s="4" t="str">
        <f>IF('Sch2a-Imp Price by ECM'!M81="","",'Sch2a-Imp Price by ECM'!M81)</f>
        <v/>
      </c>
    </row>
    <row r="81" spans="1:34" ht="17" thickBot="1">
      <c r="A81" s="75" t="str">
        <f>IF('Sch2a-Imp Price by ECM'!B82="","",'Sch2a-Imp Price by ECM'!B82)</f>
        <v/>
      </c>
      <c r="B81" s="174" t="str">
        <f>IF('Sch2a-Imp Price by ECM'!D82="","",'Sch2a-Imp Price by ECM'!D82)</f>
        <v/>
      </c>
      <c r="C81" s="400" t="str">
        <f>IF('Sch2a-Imp Price by ECM'!G82="","",'Sch2a-Imp Price by ECM'!G82)</f>
        <v/>
      </c>
      <c r="D81" s="274"/>
      <c r="E81" s="391"/>
      <c r="F81" s="391"/>
      <c r="G81" s="391"/>
      <c r="H81" s="391"/>
      <c r="I81" s="276"/>
      <c r="J81" s="391"/>
      <c r="K81" s="275"/>
      <c r="L81" s="275"/>
      <c r="M81" s="275"/>
      <c r="N81" s="269"/>
      <c r="O81" s="391"/>
      <c r="P81" s="275"/>
      <c r="Q81" s="392"/>
      <c r="R81" s="275"/>
      <c r="S81" s="392"/>
      <c r="T81" s="393"/>
      <c r="U81" s="392"/>
      <c r="V81" s="393"/>
      <c r="W81" s="394"/>
      <c r="X81" s="393"/>
      <c r="Y81" s="390">
        <f t="shared" si="8"/>
        <v>0</v>
      </c>
      <c r="Z81" s="16">
        <f t="shared" si="5"/>
        <v>0</v>
      </c>
      <c r="AA81" s="392"/>
      <c r="AB81" s="393"/>
      <c r="AC81" s="393"/>
      <c r="AD81" s="393"/>
      <c r="AE81" s="139">
        <f t="shared" si="6"/>
        <v>0</v>
      </c>
      <c r="AF81" s="139" t="str">
        <f>IF('Sch2a-Imp Price by ECM'!C82="Yes", 0, 'Sch2a-Imp Price by ECM'!L82)</f>
        <v/>
      </c>
      <c r="AG81" s="159" t="str">
        <f t="shared" si="7"/>
        <v/>
      </c>
      <c r="AH81" s="4" t="str">
        <f>IF('Sch2a-Imp Price by ECM'!M82="","",'Sch2a-Imp Price by ECM'!M82)</f>
        <v/>
      </c>
    </row>
    <row r="82" spans="1:34" ht="17" thickBot="1">
      <c r="A82" s="75" t="str">
        <f>IF('Sch2a-Imp Price by ECM'!B83="","",'Sch2a-Imp Price by ECM'!B83)</f>
        <v/>
      </c>
      <c r="B82" s="174" t="str">
        <f>IF('Sch2a-Imp Price by ECM'!D83="","",'Sch2a-Imp Price by ECM'!D83)</f>
        <v/>
      </c>
      <c r="C82" s="400" t="str">
        <f>IF('Sch2a-Imp Price by ECM'!G83="","",'Sch2a-Imp Price by ECM'!G83)</f>
        <v/>
      </c>
      <c r="D82" s="274"/>
      <c r="E82" s="391"/>
      <c r="F82" s="391"/>
      <c r="G82" s="391"/>
      <c r="H82" s="391"/>
      <c r="I82" s="276"/>
      <c r="J82" s="391"/>
      <c r="K82" s="275"/>
      <c r="L82" s="275"/>
      <c r="M82" s="275"/>
      <c r="N82" s="269"/>
      <c r="O82" s="391"/>
      <c r="P82" s="275"/>
      <c r="Q82" s="392"/>
      <c r="R82" s="275"/>
      <c r="S82" s="392"/>
      <c r="T82" s="393"/>
      <c r="U82" s="392"/>
      <c r="V82" s="393"/>
      <c r="W82" s="394"/>
      <c r="X82" s="393"/>
      <c r="Y82" s="390">
        <f t="shared" si="8"/>
        <v>0</v>
      </c>
      <c r="Z82" s="16">
        <f t="shared" si="5"/>
        <v>0</v>
      </c>
      <c r="AA82" s="392"/>
      <c r="AB82" s="393"/>
      <c r="AC82" s="393"/>
      <c r="AD82" s="393"/>
      <c r="AE82" s="139">
        <f t="shared" si="6"/>
        <v>0</v>
      </c>
      <c r="AF82" s="139" t="str">
        <f>IF('Sch2a-Imp Price by ECM'!C83="Yes", 0, 'Sch2a-Imp Price by ECM'!L83)</f>
        <v/>
      </c>
      <c r="AG82" s="159" t="str">
        <f t="shared" si="7"/>
        <v/>
      </c>
      <c r="AH82" s="4" t="str">
        <f>IF('Sch2a-Imp Price by ECM'!M83="","",'Sch2a-Imp Price by ECM'!M83)</f>
        <v/>
      </c>
    </row>
    <row r="83" spans="1:34" ht="17" thickBot="1">
      <c r="A83" s="75" t="str">
        <f>IF('Sch2a-Imp Price by ECM'!B84="","",'Sch2a-Imp Price by ECM'!B84)</f>
        <v/>
      </c>
      <c r="B83" s="174" t="str">
        <f>IF('Sch2a-Imp Price by ECM'!D84="","",'Sch2a-Imp Price by ECM'!D84)</f>
        <v/>
      </c>
      <c r="C83" s="400" t="str">
        <f>IF('Sch2a-Imp Price by ECM'!G84="","",'Sch2a-Imp Price by ECM'!G84)</f>
        <v/>
      </c>
      <c r="D83" s="274"/>
      <c r="E83" s="391"/>
      <c r="F83" s="391"/>
      <c r="G83" s="391"/>
      <c r="H83" s="391"/>
      <c r="I83" s="276"/>
      <c r="J83" s="391"/>
      <c r="K83" s="275"/>
      <c r="L83" s="275"/>
      <c r="M83" s="275"/>
      <c r="N83" s="269"/>
      <c r="O83" s="391"/>
      <c r="P83" s="275"/>
      <c r="Q83" s="392"/>
      <c r="R83" s="275"/>
      <c r="S83" s="392"/>
      <c r="T83" s="393"/>
      <c r="U83" s="392"/>
      <c r="V83" s="393"/>
      <c r="W83" s="394"/>
      <c r="X83" s="393"/>
      <c r="Y83" s="390">
        <f t="shared" si="8"/>
        <v>0</v>
      </c>
      <c r="Z83" s="16">
        <f t="shared" si="5"/>
        <v>0</v>
      </c>
      <c r="AA83" s="392"/>
      <c r="AB83" s="393"/>
      <c r="AC83" s="393"/>
      <c r="AD83" s="393"/>
      <c r="AE83" s="139">
        <f t="shared" si="6"/>
        <v>0</v>
      </c>
      <c r="AF83" s="139" t="str">
        <f>IF('Sch2a-Imp Price by ECM'!C84="Yes", 0, 'Sch2a-Imp Price by ECM'!L84)</f>
        <v/>
      </c>
      <c r="AG83" s="159" t="str">
        <f t="shared" si="7"/>
        <v/>
      </c>
      <c r="AH83" s="4" t="str">
        <f>IF('Sch2a-Imp Price by ECM'!M84="","",'Sch2a-Imp Price by ECM'!M84)</f>
        <v/>
      </c>
    </row>
    <row r="84" spans="1:34" ht="17" thickBot="1">
      <c r="A84" s="75" t="str">
        <f>IF('Sch2a-Imp Price by ECM'!B85="","",'Sch2a-Imp Price by ECM'!B85)</f>
        <v/>
      </c>
      <c r="B84" s="174" t="str">
        <f>IF('Sch2a-Imp Price by ECM'!D85="","",'Sch2a-Imp Price by ECM'!D85)</f>
        <v/>
      </c>
      <c r="C84" s="400" t="str">
        <f>IF('Sch2a-Imp Price by ECM'!G85="","",'Sch2a-Imp Price by ECM'!G85)</f>
        <v/>
      </c>
      <c r="D84" s="274"/>
      <c r="E84" s="391"/>
      <c r="F84" s="391"/>
      <c r="G84" s="391"/>
      <c r="H84" s="391"/>
      <c r="I84" s="276"/>
      <c r="J84" s="391"/>
      <c r="K84" s="275"/>
      <c r="L84" s="275"/>
      <c r="M84" s="275"/>
      <c r="N84" s="269"/>
      <c r="O84" s="391"/>
      <c r="P84" s="275"/>
      <c r="Q84" s="392"/>
      <c r="R84" s="275"/>
      <c r="S84" s="392"/>
      <c r="T84" s="393"/>
      <c r="U84" s="392"/>
      <c r="V84" s="393"/>
      <c r="W84" s="394"/>
      <c r="X84" s="393"/>
      <c r="Y84" s="390">
        <f t="shared" si="8"/>
        <v>0</v>
      </c>
      <c r="Z84" s="16">
        <f t="shared" si="5"/>
        <v>0</v>
      </c>
      <c r="AA84" s="392"/>
      <c r="AB84" s="393"/>
      <c r="AC84" s="393"/>
      <c r="AD84" s="393"/>
      <c r="AE84" s="139">
        <f t="shared" si="6"/>
        <v>0</v>
      </c>
      <c r="AF84" s="139" t="str">
        <f>IF('Sch2a-Imp Price by ECM'!C85="Yes", 0, 'Sch2a-Imp Price by ECM'!L85)</f>
        <v/>
      </c>
      <c r="AG84" s="159" t="str">
        <f t="shared" si="7"/>
        <v/>
      </c>
      <c r="AH84" s="4" t="str">
        <f>IF('Sch2a-Imp Price by ECM'!M85="","",'Sch2a-Imp Price by ECM'!M85)</f>
        <v/>
      </c>
    </row>
    <row r="85" spans="1:34" ht="17" thickBot="1">
      <c r="A85" s="75" t="str">
        <f>IF('Sch2a-Imp Price by ECM'!B86="","",'Sch2a-Imp Price by ECM'!B86)</f>
        <v/>
      </c>
      <c r="B85" s="174" t="str">
        <f>IF('Sch2a-Imp Price by ECM'!D86="","",'Sch2a-Imp Price by ECM'!D86)</f>
        <v/>
      </c>
      <c r="C85" s="400" t="str">
        <f>IF('Sch2a-Imp Price by ECM'!G86="","",'Sch2a-Imp Price by ECM'!G86)</f>
        <v/>
      </c>
      <c r="D85" s="274"/>
      <c r="E85" s="391"/>
      <c r="F85" s="391"/>
      <c r="G85" s="391"/>
      <c r="H85" s="391"/>
      <c r="I85" s="276"/>
      <c r="J85" s="391"/>
      <c r="K85" s="275"/>
      <c r="L85" s="275"/>
      <c r="M85" s="275"/>
      <c r="N85" s="269"/>
      <c r="O85" s="391"/>
      <c r="P85" s="275"/>
      <c r="Q85" s="392"/>
      <c r="R85" s="275"/>
      <c r="S85" s="392"/>
      <c r="T85" s="393"/>
      <c r="U85" s="392"/>
      <c r="V85" s="393"/>
      <c r="W85" s="394"/>
      <c r="X85" s="393"/>
      <c r="Y85" s="390">
        <f t="shared" si="8"/>
        <v>0</v>
      </c>
      <c r="Z85" s="16">
        <f t="shared" si="5"/>
        <v>0</v>
      </c>
      <c r="AA85" s="392"/>
      <c r="AB85" s="393"/>
      <c r="AC85" s="393"/>
      <c r="AD85" s="393"/>
      <c r="AE85" s="139">
        <f t="shared" si="6"/>
        <v>0</v>
      </c>
      <c r="AF85" s="139" t="str">
        <f>IF('Sch2a-Imp Price by ECM'!C86="Yes", 0, 'Sch2a-Imp Price by ECM'!L86)</f>
        <v/>
      </c>
      <c r="AG85" s="159" t="str">
        <f t="shared" si="7"/>
        <v/>
      </c>
      <c r="AH85" s="4" t="str">
        <f>IF('Sch2a-Imp Price by ECM'!M86="","",'Sch2a-Imp Price by ECM'!M86)</f>
        <v/>
      </c>
    </row>
    <row r="86" spans="1:34" ht="17" thickBot="1">
      <c r="A86" s="75" t="str">
        <f>IF('Sch2a-Imp Price by ECM'!B87="","",'Sch2a-Imp Price by ECM'!B87)</f>
        <v/>
      </c>
      <c r="B86" s="174" t="str">
        <f>IF('Sch2a-Imp Price by ECM'!D87="","",'Sch2a-Imp Price by ECM'!D87)</f>
        <v/>
      </c>
      <c r="C86" s="400" t="str">
        <f>IF('Sch2a-Imp Price by ECM'!G87="","",'Sch2a-Imp Price by ECM'!G87)</f>
        <v/>
      </c>
      <c r="D86" s="274"/>
      <c r="E86" s="391"/>
      <c r="F86" s="391"/>
      <c r="G86" s="391"/>
      <c r="H86" s="391"/>
      <c r="I86" s="276"/>
      <c r="J86" s="391"/>
      <c r="K86" s="275"/>
      <c r="L86" s="275"/>
      <c r="M86" s="275"/>
      <c r="N86" s="269"/>
      <c r="O86" s="391"/>
      <c r="P86" s="275"/>
      <c r="Q86" s="392"/>
      <c r="R86" s="275"/>
      <c r="S86" s="392"/>
      <c r="T86" s="393"/>
      <c r="U86" s="392"/>
      <c r="V86" s="393"/>
      <c r="W86" s="394"/>
      <c r="X86" s="393"/>
      <c r="Y86" s="390">
        <f t="shared" si="8"/>
        <v>0</v>
      </c>
      <c r="Z86" s="16">
        <f t="shared" si="5"/>
        <v>0</v>
      </c>
      <c r="AA86" s="392"/>
      <c r="AB86" s="393"/>
      <c r="AC86" s="393"/>
      <c r="AD86" s="393"/>
      <c r="AE86" s="139">
        <f t="shared" si="6"/>
        <v>0</v>
      </c>
      <c r="AF86" s="139" t="str">
        <f>IF('Sch2a-Imp Price by ECM'!C87="Yes", 0, 'Sch2a-Imp Price by ECM'!L87)</f>
        <v/>
      </c>
      <c r="AG86" s="159" t="str">
        <f t="shared" si="7"/>
        <v/>
      </c>
      <c r="AH86" s="4" t="str">
        <f>IF('Sch2a-Imp Price by ECM'!M87="","",'Sch2a-Imp Price by ECM'!M87)</f>
        <v/>
      </c>
    </row>
    <row r="87" spans="1:34" ht="17" thickBot="1">
      <c r="A87" s="75" t="str">
        <f>IF('Sch2a-Imp Price by ECM'!B88="","",'Sch2a-Imp Price by ECM'!B88)</f>
        <v/>
      </c>
      <c r="B87" s="174" t="str">
        <f>IF('Sch2a-Imp Price by ECM'!D88="","",'Sch2a-Imp Price by ECM'!D88)</f>
        <v/>
      </c>
      <c r="C87" s="400" t="str">
        <f>IF('Sch2a-Imp Price by ECM'!G88="","",'Sch2a-Imp Price by ECM'!G88)</f>
        <v/>
      </c>
      <c r="D87" s="274"/>
      <c r="E87" s="391"/>
      <c r="F87" s="391"/>
      <c r="G87" s="391"/>
      <c r="H87" s="391"/>
      <c r="I87" s="276"/>
      <c r="J87" s="391"/>
      <c r="K87" s="275"/>
      <c r="L87" s="275"/>
      <c r="M87" s="275"/>
      <c r="N87" s="269"/>
      <c r="O87" s="391"/>
      <c r="P87" s="275"/>
      <c r="Q87" s="392"/>
      <c r="R87" s="275"/>
      <c r="S87" s="392"/>
      <c r="T87" s="393"/>
      <c r="U87" s="392"/>
      <c r="V87" s="393"/>
      <c r="W87" s="394"/>
      <c r="X87" s="393"/>
      <c r="Y87" s="390">
        <f t="shared" si="8"/>
        <v>0</v>
      </c>
      <c r="Z87" s="16">
        <f t="shared" si="5"/>
        <v>0</v>
      </c>
      <c r="AA87" s="392"/>
      <c r="AB87" s="393"/>
      <c r="AC87" s="393"/>
      <c r="AD87" s="393"/>
      <c r="AE87" s="139">
        <f t="shared" si="6"/>
        <v>0</v>
      </c>
      <c r="AF87" s="139" t="str">
        <f>IF('Sch2a-Imp Price by ECM'!C88="Yes", 0, 'Sch2a-Imp Price by ECM'!L88)</f>
        <v/>
      </c>
      <c r="AG87" s="159" t="str">
        <f t="shared" si="7"/>
        <v/>
      </c>
      <c r="AH87" s="4" t="str">
        <f>IF('Sch2a-Imp Price by ECM'!M88="","",'Sch2a-Imp Price by ECM'!M88)</f>
        <v/>
      </c>
    </row>
    <row r="88" spans="1:34" ht="17" thickBot="1">
      <c r="A88" s="75" t="str">
        <f>IF('Sch2a-Imp Price by ECM'!B89="","",'Sch2a-Imp Price by ECM'!B89)</f>
        <v/>
      </c>
      <c r="B88" s="174" t="str">
        <f>IF('Sch2a-Imp Price by ECM'!D89="","",'Sch2a-Imp Price by ECM'!D89)</f>
        <v/>
      </c>
      <c r="C88" s="400" t="str">
        <f>IF('Sch2a-Imp Price by ECM'!G89="","",'Sch2a-Imp Price by ECM'!G89)</f>
        <v/>
      </c>
      <c r="D88" s="274"/>
      <c r="E88" s="391"/>
      <c r="F88" s="391"/>
      <c r="G88" s="391"/>
      <c r="H88" s="391"/>
      <c r="I88" s="276"/>
      <c r="J88" s="391"/>
      <c r="K88" s="275"/>
      <c r="L88" s="275"/>
      <c r="M88" s="275"/>
      <c r="N88" s="269"/>
      <c r="O88" s="391"/>
      <c r="P88" s="275"/>
      <c r="Q88" s="392"/>
      <c r="R88" s="275"/>
      <c r="S88" s="392"/>
      <c r="T88" s="393"/>
      <c r="U88" s="392"/>
      <c r="V88" s="393"/>
      <c r="W88" s="394"/>
      <c r="X88" s="393"/>
      <c r="Y88" s="390">
        <f t="shared" si="8"/>
        <v>0</v>
      </c>
      <c r="Z88" s="16">
        <f t="shared" si="5"/>
        <v>0</v>
      </c>
      <c r="AA88" s="392"/>
      <c r="AB88" s="393"/>
      <c r="AC88" s="393"/>
      <c r="AD88" s="393"/>
      <c r="AE88" s="139">
        <f t="shared" si="6"/>
        <v>0</v>
      </c>
      <c r="AF88" s="139" t="str">
        <f>IF('Sch2a-Imp Price by ECM'!C89="Yes", 0, 'Sch2a-Imp Price by ECM'!L89)</f>
        <v/>
      </c>
      <c r="AG88" s="159" t="str">
        <f t="shared" si="7"/>
        <v/>
      </c>
      <c r="AH88" s="4" t="str">
        <f>IF('Sch2a-Imp Price by ECM'!M89="","",'Sch2a-Imp Price by ECM'!M89)</f>
        <v/>
      </c>
    </row>
    <row r="89" spans="1:34" ht="17" thickBot="1">
      <c r="A89" s="75" t="str">
        <f>IF('Sch2a-Imp Price by ECM'!B90="","",'Sch2a-Imp Price by ECM'!B90)</f>
        <v/>
      </c>
      <c r="B89" s="174" t="str">
        <f>IF('Sch2a-Imp Price by ECM'!D90="","",'Sch2a-Imp Price by ECM'!D90)</f>
        <v/>
      </c>
      <c r="C89" s="400" t="str">
        <f>IF('Sch2a-Imp Price by ECM'!G90="","",'Sch2a-Imp Price by ECM'!G90)</f>
        <v/>
      </c>
      <c r="D89" s="274"/>
      <c r="E89" s="391"/>
      <c r="F89" s="391"/>
      <c r="G89" s="391"/>
      <c r="H89" s="391"/>
      <c r="I89" s="276"/>
      <c r="J89" s="391"/>
      <c r="K89" s="275"/>
      <c r="L89" s="275"/>
      <c r="M89" s="275"/>
      <c r="N89" s="269"/>
      <c r="O89" s="391"/>
      <c r="P89" s="275"/>
      <c r="Q89" s="392"/>
      <c r="R89" s="275"/>
      <c r="S89" s="392"/>
      <c r="T89" s="393"/>
      <c r="U89" s="392"/>
      <c r="V89" s="393"/>
      <c r="W89" s="394"/>
      <c r="X89" s="393"/>
      <c r="Y89" s="390">
        <f t="shared" si="8"/>
        <v>0</v>
      </c>
      <c r="Z89" s="16">
        <f t="shared" si="5"/>
        <v>0</v>
      </c>
      <c r="AA89" s="392"/>
      <c r="AB89" s="393"/>
      <c r="AC89" s="393"/>
      <c r="AD89" s="393"/>
      <c r="AE89" s="139">
        <f t="shared" si="6"/>
        <v>0</v>
      </c>
      <c r="AF89" s="139" t="str">
        <f>IF('Sch2a-Imp Price by ECM'!C90="Yes", 0, 'Sch2a-Imp Price by ECM'!L90)</f>
        <v/>
      </c>
      <c r="AG89" s="159" t="str">
        <f t="shared" si="7"/>
        <v/>
      </c>
      <c r="AH89" s="4" t="str">
        <f>IF('Sch2a-Imp Price by ECM'!M90="","",'Sch2a-Imp Price by ECM'!M90)</f>
        <v/>
      </c>
    </row>
    <row r="90" spans="1:34" ht="17" thickBot="1">
      <c r="A90" s="75" t="str">
        <f>IF('Sch2a-Imp Price by ECM'!B91="","",'Sch2a-Imp Price by ECM'!B91)</f>
        <v/>
      </c>
      <c r="B90" s="174" t="str">
        <f>IF('Sch2a-Imp Price by ECM'!D91="","",'Sch2a-Imp Price by ECM'!D91)</f>
        <v/>
      </c>
      <c r="C90" s="400" t="str">
        <f>IF('Sch2a-Imp Price by ECM'!G91="","",'Sch2a-Imp Price by ECM'!G91)</f>
        <v/>
      </c>
      <c r="D90" s="274"/>
      <c r="E90" s="391"/>
      <c r="F90" s="391"/>
      <c r="G90" s="391"/>
      <c r="H90" s="391"/>
      <c r="I90" s="276"/>
      <c r="J90" s="391"/>
      <c r="K90" s="275"/>
      <c r="L90" s="275"/>
      <c r="M90" s="275"/>
      <c r="N90" s="269"/>
      <c r="O90" s="391"/>
      <c r="P90" s="275"/>
      <c r="Q90" s="392"/>
      <c r="R90" s="275"/>
      <c r="S90" s="392"/>
      <c r="T90" s="393"/>
      <c r="U90" s="392"/>
      <c r="V90" s="393"/>
      <c r="W90" s="394"/>
      <c r="X90" s="393"/>
      <c r="Y90" s="390">
        <f t="shared" si="8"/>
        <v>0</v>
      </c>
      <c r="Z90" s="16">
        <f t="shared" si="5"/>
        <v>0</v>
      </c>
      <c r="AA90" s="392"/>
      <c r="AB90" s="393"/>
      <c r="AC90" s="393"/>
      <c r="AD90" s="393"/>
      <c r="AE90" s="139">
        <f t="shared" si="6"/>
        <v>0</v>
      </c>
      <c r="AF90" s="139" t="str">
        <f>IF('Sch2a-Imp Price by ECM'!C91="Yes", 0, 'Sch2a-Imp Price by ECM'!L91)</f>
        <v/>
      </c>
      <c r="AG90" s="159" t="str">
        <f t="shared" si="7"/>
        <v/>
      </c>
      <c r="AH90" s="4" t="str">
        <f>IF('Sch2a-Imp Price by ECM'!M91="","",'Sch2a-Imp Price by ECM'!M91)</f>
        <v/>
      </c>
    </row>
    <row r="91" spans="1:34" ht="17" thickBot="1">
      <c r="A91" s="75" t="str">
        <f>IF('Sch2a-Imp Price by ECM'!B92="","",'Sch2a-Imp Price by ECM'!B92)</f>
        <v/>
      </c>
      <c r="B91" s="174" t="str">
        <f>IF('Sch2a-Imp Price by ECM'!D92="","",'Sch2a-Imp Price by ECM'!D92)</f>
        <v/>
      </c>
      <c r="C91" s="400" t="str">
        <f>IF('Sch2a-Imp Price by ECM'!G92="","",'Sch2a-Imp Price by ECM'!G92)</f>
        <v/>
      </c>
      <c r="D91" s="274"/>
      <c r="E91" s="391"/>
      <c r="F91" s="391"/>
      <c r="G91" s="391"/>
      <c r="H91" s="391"/>
      <c r="I91" s="276"/>
      <c r="J91" s="391"/>
      <c r="K91" s="275"/>
      <c r="L91" s="275"/>
      <c r="M91" s="275"/>
      <c r="N91" s="269"/>
      <c r="O91" s="391"/>
      <c r="P91" s="275"/>
      <c r="Q91" s="392"/>
      <c r="R91" s="275"/>
      <c r="S91" s="392"/>
      <c r="T91" s="393"/>
      <c r="U91" s="392"/>
      <c r="V91" s="393"/>
      <c r="W91" s="394"/>
      <c r="X91" s="393"/>
      <c r="Y91" s="390">
        <f t="shared" si="8"/>
        <v>0</v>
      </c>
      <c r="Z91" s="16">
        <f t="shared" si="5"/>
        <v>0</v>
      </c>
      <c r="AA91" s="392"/>
      <c r="AB91" s="393"/>
      <c r="AC91" s="393"/>
      <c r="AD91" s="393"/>
      <c r="AE91" s="139">
        <f t="shared" si="6"/>
        <v>0</v>
      </c>
      <c r="AF91" s="139" t="str">
        <f>IF('Sch2a-Imp Price by ECM'!C92="Yes", 0, 'Sch2a-Imp Price by ECM'!L92)</f>
        <v/>
      </c>
      <c r="AG91" s="159" t="str">
        <f t="shared" si="7"/>
        <v/>
      </c>
      <c r="AH91" s="4" t="str">
        <f>IF('Sch2a-Imp Price by ECM'!M92="","",'Sch2a-Imp Price by ECM'!M92)</f>
        <v/>
      </c>
    </row>
    <row r="92" spans="1:34" ht="17" thickBot="1">
      <c r="A92" s="75" t="str">
        <f>IF('Sch2a-Imp Price by ECM'!B93="","",'Sch2a-Imp Price by ECM'!B93)</f>
        <v/>
      </c>
      <c r="B92" s="174" t="str">
        <f>IF('Sch2a-Imp Price by ECM'!D93="","",'Sch2a-Imp Price by ECM'!D93)</f>
        <v/>
      </c>
      <c r="C92" s="400" t="str">
        <f>IF('Sch2a-Imp Price by ECM'!G93="","",'Sch2a-Imp Price by ECM'!G93)</f>
        <v/>
      </c>
      <c r="D92" s="274"/>
      <c r="E92" s="391"/>
      <c r="F92" s="391"/>
      <c r="G92" s="391"/>
      <c r="H92" s="391"/>
      <c r="I92" s="276"/>
      <c r="J92" s="391"/>
      <c r="K92" s="275"/>
      <c r="L92" s="275"/>
      <c r="M92" s="275"/>
      <c r="N92" s="269"/>
      <c r="O92" s="391"/>
      <c r="P92" s="275"/>
      <c r="Q92" s="392"/>
      <c r="R92" s="275"/>
      <c r="S92" s="392"/>
      <c r="T92" s="393"/>
      <c r="U92" s="392"/>
      <c r="V92" s="393"/>
      <c r="W92" s="394"/>
      <c r="X92" s="393"/>
      <c r="Y92" s="390">
        <f t="shared" si="8"/>
        <v>0</v>
      </c>
      <c r="Z92" s="16">
        <f t="shared" si="5"/>
        <v>0</v>
      </c>
      <c r="AA92" s="392"/>
      <c r="AB92" s="393"/>
      <c r="AC92" s="393"/>
      <c r="AD92" s="393"/>
      <c r="AE92" s="139">
        <f t="shared" si="6"/>
        <v>0</v>
      </c>
      <c r="AF92" s="139" t="str">
        <f>IF('Sch2a-Imp Price by ECM'!C93="Yes", 0, 'Sch2a-Imp Price by ECM'!L93)</f>
        <v/>
      </c>
      <c r="AG92" s="159" t="str">
        <f t="shared" si="7"/>
        <v/>
      </c>
      <c r="AH92" s="4" t="str">
        <f>IF('Sch2a-Imp Price by ECM'!M93="","",'Sch2a-Imp Price by ECM'!M93)</f>
        <v/>
      </c>
    </row>
    <row r="93" spans="1:34" ht="17" thickBot="1">
      <c r="A93" s="75" t="str">
        <f>IF('Sch2a-Imp Price by ECM'!B94="","",'Sch2a-Imp Price by ECM'!B94)</f>
        <v/>
      </c>
      <c r="B93" s="174" t="str">
        <f>IF('Sch2a-Imp Price by ECM'!D94="","",'Sch2a-Imp Price by ECM'!D94)</f>
        <v/>
      </c>
      <c r="C93" s="400" t="str">
        <f>IF('Sch2a-Imp Price by ECM'!G94="","",'Sch2a-Imp Price by ECM'!G94)</f>
        <v/>
      </c>
      <c r="D93" s="274"/>
      <c r="E93" s="391"/>
      <c r="F93" s="391"/>
      <c r="G93" s="391"/>
      <c r="H93" s="391"/>
      <c r="I93" s="276"/>
      <c r="J93" s="391"/>
      <c r="K93" s="275"/>
      <c r="L93" s="275"/>
      <c r="M93" s="275"/>
      <c r="N93" s="276"/>
      <c r="O93" s="391"/>
      <c r="P93" s="275"/>
      <c r="Q93" s="392"/>
      <c r="R93" s="275"/>
      <c r="S93" s="392"/>
      <c r="T93" s="393"/>
      <c r="U93" s="392"/>
      <c r="V93" s="393"/>
      <c r="W93" s="394"/>
      <c r="X93" s="393"/>
      <c r="Y93" s="390">
        <f t="shared" si="8"/>
        <v>0</v>
      </c>
      <c r="Z93" s="16">
        <f t="shared" si="5"/>
        <v>0</v>
      </c>
      <c r="AA93" s="392"/>
      <c r="AB93" s="393"/>
      <c r="AC93" s="393"/>
      <c r="AD93" s="393"/>
      <c r="AE93" s="139">
        <f t="shared" si="6"/>
        <v>0</v>
      </c>
      <c r="AF93" s="139" t="str">
        <f>IF('Sch2a-Imp Price by ECM'!C94="Yes", 0, 'Sch2a-Imp Price by ECM'!L94)</f>
        <v/>
      </c>
      <c r="AG93" s="159" t="str">
        <f t="shared" si="7"/>
        <v/>
      </c>
      <c r="AH93" s="4" t="str">
        <f>IF('Sch2a-Imp Price by ECM'!M94="","",'Sch2a-Imp Price by ECM'!M94)</f>
        <v/>
      </c>
    </row>
    <row r="94" spans="1:34" ht="17" thickBot="1">
      <c r="A94" s="75" t="str">
        <f>IF('Sch2a-Imp Price by ECM'!B95="","",'Sch2a-Imp Price by ECM'!B95)</f>
        <v/>
      </c>
      <c r="B94" s="174" t="str">
        <f>IF('Sch2a-Imp Price by ECM'!D95="","",'Sch2a-Imp Price by ECM'!D95)</f>
        <v/>
      </c>
      <c r="C94" s="400" t="str">
        <f>IF('Sch2a-Imp Price by ECM'!G95="","",'Sch2a-Imp Price by ECM'!G95)</f>
        <v/>
      </c>
      <c r="D94" s="274"/>
      <c r="E94" s="391"/>
      <c r="F94" s="391"/>
      <c r="G94" s="391"/>
      <c r="H94" s="391"/>
      <c r="I94" s="276"/>
      <c r="J94" s="391"/>
      <c r="K94" s="275"/>
      <c r="L94" s="275"/>
      <c r="M94" s="275"/>
      <c r="N94" s="276"/>
      <c r="O94" s="391"/>
      <c r="P94" s="275"/>
      <c r="Q94" s="392"/>
      <c r="R94" s="275"/>
      <c r="S94" s="392"/>
      <c r="T94" s="393"/>
      <c r="U94" s="392"/>
      <c r="V94" s="393"/>
      <c r="W94" s="394"/>
      <c r="X94" s="393"/>
      <c r="Y94" s="390">
        <f t="shared" si="8"/>
        <v>0</v>
      </c>
      <c r="Z94" s="16">
        <f t="shared" si="5"/>
        <v>0</v>
      </c>
      <c r="AA94" s="392"/>
      <c r="AB94" s="393"/>
      <c r="AC94" s="393"/>
      <c r="AD94" s="393"/>
      <c r="AE94" s="139">
        <f t="shared" si="6"/>
        <v>0</v>
      </c>
      <c r="AF94" s="139" t="str">
        <f>IF('Sch2a-Imp Price by ECM'!C95="Yes", 0, 'Sch2a-Imp Price by ECM'!L95)</f>
        <v/>
      </c>
      <c r="AG94" s="159" t="str">
        <f t="shared" si="7"/>
        <v/>
      </c>
      <c r="AH94" s="4" t="str">
        <f>IF('Sch2a-Imp Price by ECM'!M95="","",'Sch2a-Imp Price by ECM'!M95)</f>
        <v/>
      </c>
    </row>
    <row r="95" spans="1:34" ht="17" thickBot="1">
      <c r="A95" s="75" t="str">
        <f>IF('Sch2a-Imp Price by ECM'!B96="","",'Sch2a-Imp Price by ECM'!B96)</f>
        <v/>
      </c>
      <c r="B95" s="174" t="str">
        <f>IF('Sch2a-Imp Price by ECM'!D96="","",'Sch2a-Imp Price by ECM'!D96)</f>
        <v/>
      </c>
      <c r="C95" s="400" t="str">
        <f>IF('Sch2a-Imp Price by ECM'!G96="","",'Sch2a-Imp Price by ECM'!G96)</f>
        <v/>
      </c>
      <c r="D95" s="274"/>
      <c r="E95" s="391"/>
      <c r="F95" s="391"/>
      <c r="G95" s="391"/>
      <c r="H95" s="391"/>
      <c r="I95" s="276"/>
      <c r="J95" s="391"/>
      <c r="K95" s="275"/>
      <c r="L95" s="275"/>
      <c r="M95" s="275"/>
      <c r="N95" s="276"/>
      <c r="O95" s="391"/>
      <c r="P95" s="275"/>
      <c r="Q95" s="392"/>
      <c r="R95" s="275"/>
      <c r="S95" s="392"/>
      <c r="T95" s="393"/>
      <c r="U95" s="392"/>
      <c r="V95" s="393"/>
      <c r="W95" s="394"/>
      <c r="X95" s="393"/>
      <c r="Y95" s="390">
        <f t="shared" si="8"/>
        <v>0</v>
      </c>
      <c r="Z95" s="16">
        <f t="shared" si="5"/>
        <v>0</v>
      </c>
      <c r="AA95" s="392"/>
      <c r="AB95" s="393"/>
      <c r="AC95" s="393"/>
      <c r="AD95" s="393"/>
      <c r="AE95" s="139">
        <f t="shared" si="6"/>
        <v>0</v>
      </c>
      <c r="AF95" s="139" t="str">
        <f>IF('Sch2a-Imp Price by ECM'!C96="Yes", 0, 'Sch2a-Imp Price by ECM'!L96)</f>
        <v/>
      </c>
      <c r="AG95" s="159" t="str">
        <f t="shared" si="7"/>
        <v/>
      </c>
      <c r="AH95" s="4" t="str">
        <f>IF('Sch2a-Imp Price by ECM'!M96="","",'Sch2a-Imp Price by ECM'!M96)</f>
        <v/>
      </c>
    </row>
    <row r="96" spans="1:34" ht="17" thickBot="1">
      <c r="A96" s="75" t="str">
        <f>IF('Sch2a-Imp Price by ECM'!B97="","",'Sch2a-Imp Price by ECM'!B97)</f>
        <v/>
      </c>
      <c r="B96" s="174" t="str">
        <f>IF('Sch2a-Imp Price by ECM'!D97="","",'Sch2a-Imp Price by ECM'!D97)</f>
        <v/>
      </c>
      <c r="C96" s="400" t="str">
        <f>IF('Sch2a-Imp Price by ECM'!G97="","",'Sch2a-Imp Price by ECM'!G97)</f>
        <v/>
      </c>
      <c r="D96" s="274"/>
      <c r="E96" s="391"/>
      <c r="F96" s="391"/>
      <c r="G96" s="391"/>
      <c r="H96" s="391"/>
      <c r="I96" s="276"/>
      <c r="J96" s="391"/>
      <c r="K96" s="275"/>
      <c r="L96" s="275"/>
      <c r="M96" s="275"/>
      <c r="N96" s="276"/>
      <c r="O96" s="391"/>
      <c r="P96" s="275"/>
      <c r="Q96" s="392"/>
      <c r="R96" s="275"/>
      <c r="S96" s="392"/>
      <c r="T96" s="393"/>
      <c r="U96" s="392"/>
      <c r="V96" s="393"/>
      <c r="W96" s="394"/>
      <c r="X96" s="393"/>
      <c r="Y96" s="390">
        <f t="shared" si="8"/>
        <v>0</v>
      </c>
      <c r="Z96" s="16">
        <f t="shared" si="5"/>
        <v>0</v>
      </c>
      <c r="AA96" s="392"/>
      <c r="AB96" s="393"/>
      <c r="AC96" s="393"/>
      <c r="AD96" s="393"/>
      <c r="AE96" s="139">
        <f t="shared" si="6"/>
        <v>0</v>
      </c>
      <c r="AF96" s="139" t="str">
        <f>IF('Sch2a-Imp Price by ECM'!C97="Yes", 0, 'Sch2a-Imp Price by ECM'!L97)</f>
        <v/>
      </c>
      <c r="AG96" s="159" t="str">
        <f t="shared" si="7"/>
        <v/>
      </c>
      <c r="AH96" s="4" t="str">
        <f>IF('Sch2a-Imp Price by ECM'!M97="","",'Sch2a-Imp Price by ECM'!M97)</f>
        <v/>
      </c>
    </row>
    <row r="97" spans="1:34" ht="18" customHeight="1" thickBot="1">
      <c r="A97" s="75" t="str">
        <f>IF('Sch2a-Imp Price by ECM'!B98="","",'Sch2a-Imp Price by ECM'!B98)</f>
        <v/>
      </c>
      <c r="B97" s="174" t="str">
        <f>IF('Sch2a-Imp Price by ECM'!D98="","",'Sch2a-Imp Price by ECM'!D98)</f>
        <v/>
      </c>
      <c r="C97" s="400" t="str">
        <f>IF('Sch2a-Imp Price by ECM'!G98="","",'Sch2a-Imp Price by ECM'!G98)</f>
        <v/>
      </c>
      <c r="D97" s="274"/>
      <c r="E97" s="391"/>
      <c r="F97" s="391"/>
      <c r="G97" s="391"/>
      <c r="H97" s="391"/>
      <c r="I97" s="276"/>
      <c r="J97" s="391"/>
      <c r="K97" s="275"/>
      <c r="L97" s="275"/>
      <c r="M97" s="275"/>
      <c r="N97" s="276"/>
      <c r="O97" s="391"/>
      <c r="P97" s="275"/>
      <c r="Q97" s="392"/>
      <c r="R97" s="275"/>
      <c r="S97" s="392"/>
      <c r="T97" s="393"/>
      <c r="U97" s="392"/>
      <c r="V97" s="393"/>
      <c r="W97" s="394"/>
      <c r="X97" s="393"/>
      <c r="Y97" s="390">
        <f t="shared" si="8"/>
        <v>0</v>
      </c>
      <c r="Z97" s="16">
        <f t="shared" si="5"/>
        <v>0</v>
      </c>
      <c r="AA97" s="392"/>
      <c r="AB97" s="393"/>
      <c r="AC97" s="393"/>
      <c r="AD97" s="393"/>
      <c r="AE97" s="139">
        <f t="shared" si="6"/>
        <v>0</v>
      </c>
      <c r="AF97" s="139" t="str">
        <f>IF('Sch2a-Imp Price by ECM'!C98="Yes", 0, 'Sch2a-Imp Price by ECM'!L98)</f>
        <v/>
      </c>
      <c r="AG97" s="159" t="str">
        <f t="shared" si="7"/>
        <v/>
      </c>
      <c r="AH97" s="4" t="str">
        <f>IF('Sch2a-Imp Price by ECM'!M98="","",'Sch2a-Imp Price by ECM'!M98)</f>
        <v/>
      </c>
    </row>
    <row r="98" spans="1:34" ht="17" thickBot="1">
      <c r="A98" s="75" t="str">
        <f>IF('Sch2a-Imp Price by ECM'!B99="","",'Sch2a-Imp Price by ECM'!B99)</f>
        <v/>
      </c>
      <c r="B98" s="174" t="str">
        <f>IF('Sch2a-Imp Price by ECM'!D99="","",'Sch2a-Imp Price by ECM'!D99)</f>
        <v/>
      </c>
      <c r="C98" s="400" t="str">
        <f>IF('Sch2a-Imp Price by ECM'!G99="","",'Sch2a-Imp Price by ECM'!G99)</f>
        <v/>
      </c>
      <c r="D98" s="274"/>
      <c r="E98" s="391"/>
      <c r="F98" s="391"/>
      <c r="G98" s="391"/>
      <c r="H98" s="391"/>
      <c r="I98" s="276"/>
      <c r="J98" s="391"/>
      <c r="K98" s="275"/>
      <c r="L98" s="275"/>
      <c r="M98" s="275"/>
      <c r="N98" s="276"/>
      <c r="O98" s="391"/>
      <c r="P98" s="275"/>
      <c r="Q98" s="392"/>
      <c r="R98" s="275"/>
      <c r="S98" s="392"/>
      <c r="T98" s="393"/>
      <c r="U98" s="392"/>
      <c r="V98" s="393"/>
      <c r="W98" s="394"/>
      <c r="X98" s="393"/>
      <c r="Y98" s="390">
        <f t="shared" si="8"/>
        <v>0</v>
      </c>
      <c r="Z98" s="16">
        <f t="shared" si="5"/>
        <v>0</v>
      </c>
      <c r="AA98" s="392"/>
      <c r="AB98" s="393"/>
      <c r="AC98" s="393"/>
      <c r="AD98" s="393"/>
      <c r="AE98" s="139">
        <f t="shared" si="6"/>
        <v>0</v>
      </c>
      <c r="AF98" s="139" t="str">
        <f>IF('Sch2a-Imp Price by ECM'!C99="Yes", 0, 'Sch2a-Imp Price by ECM'!L99)</f>
        <v/>
      </c>
      <c r="AG98" s="159" t="str">
        <f t="shared" si="7"/>
        <v/>
      </c>
      <c r="AH98" s="4" t="str">
        <f>IF('Sch2a-Imp Price by ECM'!M99="","",'Sch2a-Imp Price by ECM'!M99)</f>
        <v/>
      </c>
    </row>
    <row r="99" spans="1:34" ht="17" thickBot="1">
      <c r="A99" s="75" t="str">
        <f>IF('Sch2a-Imp Price by ECM'!B100="","",'Sch2a-Imp Price by ECM'!B100)</f>
        <v/>
      </c>
      <c r="B99" s="174" t="str">
        <f>IF('Sch2a-Imp Price by ECM'!D100="","",'Sch2a-Imp Price by ECM'!D100)</f>
        <v/>
      </c>
      <c r="C99" s="400" t="str">
        <f>IF('Sch2a-Imp Price by ECM'!G100="","",'Sch2a-Imp Price by ECM'!G100)</f>
        <v/>
      </c>
      <c r="D99" s="274"/>
      <c r="E99" s="391"/>
      <c r="F99" s="391"/>
      <c r="G99" s="391"/>
      <c r="H99" s="391"/>
      <c r="I99" s="276"/>
      <c r="J99" s="391"/>
      <c r="K99" s="275"/>
      <c r="L99" s="275"/>
      <c r="M99" s="275"/>
      <c r="N99" s="276"/>
      <c r="O99" s="391"/>
      <c r="P99" s="275"/>
      <c r="Q99" s="392"/>
      <c r="R99" s="275"/>
      <c r="S99" s="392"/>
      <c r="T99" s="393"/>
      <c r="U99" s="392"/>
      <c r="V99" s="393"/>
      <c r="W99" s="394"/>
      <c r="X99" s="393"/>
      <c r="Y99" s="390">
        <f t="shared" si="8"/>
        <v>0</v>
      </c>
      <c r="Z99" s="16">
        <f t="shared" si="5"/>
        <v>0</v>
      </c>
      <c r="AA99" s="392"/>
      <c r="AB99" s="393"/>
      <c r="AC99" s="393"/>
      <c r="AD99" s="393"/>
      <c r="AE99" s="139">
        <f t="shared" si="6"/>
        <v>0</v>
      </c>
      <c r="AF99" s="139" t="str">
        <f>IF('Sch2a-Imp Price by ECM'!C100="Yes", 0, 'Sch2a-Imp Price by ECM'!L100)</f>
        <v/>
      </c>
      <c r="AG99" s="159" t="str">
        <f t="shared" si="7"/>
        <v/>
      </c>
      <c r="AH99" s="4" t="str">
        <f>IF('Sch2a-Imp Price by ECM'!M100="","",'Sch2a-Imp Price by ECM'!M100)</f>
        <v/>
      </c>
    </row>
    <row r="100" spans="1:34" ht="17" thickBot="1">
      <c r="A100" s="75" t="str">
        <f>IF('Sch2a-Imp Price by ECM'!B101="","",'Sch2a-Imp Price by ECM'!B101)</f>
        <v/>
      </c>
      <c r="B100" s="174" t="str">
        <f>IF('Sch2a-Imp Price by ECM'!D101="","",'Sch2a-Imp Price by ECM'!D101)</f>
        <v/>
      </c>
      <c r="C100" s="400" t="str">
        <f>IF('Sch2a-Imp Price by ECM'!G101="","",'Sch2a-Imp Price by ECM'!G101)</f>
        <v/>
      </c>
      <c r="D100" s="274"/>
      <c r="E100" s="391"/>
      <c r="F100" s="391"/>
      <c r="G100" s="391"/>
      <c r="H100" s="391"/>
      <c r="I100" s="276"/>
      <c r="J100" s="391"/>
      <c r="K100" s="275"/>
      <c r="L100" s="275"/>
      <c r="M100" s="275"/>
      <c r="N100" s="269"/>
      <c r="O100" s="391"/>
      <c r="P100" s="275"/>
      <c r="Q100" s="392"/>
      <c r="R100" s="275"/>
      <c r="S100" s="392"/>
      <c r="T100" s="393"/>
      <c r="U100" s="392"/>
      <c r="V100" s="393"/>
      <c r="W100" s="394"/>
      <c r="X100" s="393"/>
      <c r="Y100" s="390">
        <f t="shared" si="8"/>
        <v>0</v>
      </c>
      <c r="Z100" s="16">
        <f t="shared" si="5"/>
        <v>0</v>
      </c>
      <c r="AA100" s="392"/>
      <c r="AB100" s="393"/>
      <c r="AC100" s="393"/>
      <c r="AD100" s="393"/>
      <c r="AE100" s="139">
        <f t="shared" si="6"/>
        <v>0</v>
      </c>
      <c r="AF100" s="139" t="str">
        <f>IF('Sch2a-Imp Price by ECM'!C101="Yes", 0, 'Sch2a-Imp Price by ECM'!L101)</f>
        <v/>
      </c>
      <c r="AG100" s="159" t="str">
        <f t="shared" si="7"/>
        <v/>
      </c>
      <c r="AH100" s="4" t="str">
        <f>IF('Sch2a-Imp Price by ECM'!M101="","",'Sch2a-Imp Price by ECM'!M101)</f>
        <v/>
      </c>
    </row>
    <row r="101" spans="1:34" ht="17" thickBot="1">
      <c r="A101" s="75" t="str">
        <f>IF('Sch2a-Imp Price by ECM'!B102="","",'Sch2a-Imp Price by ECM'!B102)</f>
        <v/>
      </c>
      <c r="B101" s="174" t="str">
        <f>IF('Sch2a-Imp Price by ECM'!D102="","",'Sch2a-Imp Price by ECM'!D102)</f>
        <v/>
      </c>
      <c r="C101" s="400" t="str">
        <f>IF('Sch2a-Imp Price by ECM'!G102="","",'Sch2a-Imp Price by ECM'!G102)</f>
        <v/>
      </c>
      <c r="D101" s="274"/>
      <c r="E101" s="391"/>
      <c r="F101" s="391"/>
      <c r="G101" s="391"/>
      <c r="H101" s="391"/>
      <c r="I101" s="276"/>
      <c r="J101" s="391"/>
      <c r="K101" s="275"/>
      <c r="L101" s="275"/>
      <c r="M101" s="275"/>
      <c r="N101" s="269"/>
      <c r="O101" s="391"/>
      <c r="P101" s="275"/>
      <c r="Q101" s="392"/>
      <c r="R101" s="275"/>
      <c r="S101" s="392"/>
      <c r="T101" s="393"/>
      <c r="U101" s="392"/>
      <c r="V101" s="393"/>
      <c r="W101" s="394"/>
      <c r="X101" s="393"/>
      <c r="Y101" s="390">
        <f t="shared" si="8"/>
        <v>0</v>
      </c>
      <c r="Z101" s="16">
        <f t="shared" si="5"/>
        <v>0</v>
      </c>
      <c r="AA101" s="392"/>
      <c r="AB101" s="393"/>
      <c r="AC101" s="393"/>
      <c r="AD101" s="393"/>
      <c r="AE101" s="139">
        <f t="shared" si="6"/>
        <v>0</v>
      </c>
      <c r="AF101" s="139" t="str">
        <f>IF('Sch2a-Imp Price by ECM'!C102="Yes", 0, 'Sch2a-Imp Price by ECM'!L102)</f>
        <v/>
      </c>
      <c r="AG101" s="159" t="str">
        <f t="shared" si="7"/>
        <v/>
      </c>
      <c r="AH101" s="4" t="str">
        <f>IF('Sch2a-Imp Price by ECM'!M102="","",'Sch2a-Imp Price by ECM'!M102)</f>
        <v/>
      </c>
    </row>
    <row r="102" spans="1:34" ht="17" thickBot="1">
      <c r="A102" s="75" t="str">
        <f>IF('Sch2a-Imp Price by ECM'!B103="","",'Sch2a-Imp Price by ECM'!B103)</f>
        <v/>
      </c>
      <c r="B102" s="174" t="str">
        <f>IF('Sch2a-Imp Price by ECM'!D103="","",'Sch2a-Imp Price by ECM'!D103)</f>
        <v/>
      </c>
      <c r="C102" s="400" t="str">
        <f>IF('Sch2a-Imp Price by ECM'!G103="","",'Sch2a-Imp Price by ECM'!G103)</f>
        <v/>
      </c>
      <c r="D102" s="274"/>
      <c r="E102" s="391"/>
      <c r="F102" s="391"/>
      <c r="G102" s="391"/>
      <c r="H102" s="391"/>
      <c r="I102" s="276"/>
      <c r="J102" s="391"/>
      <c r="K102" s="275"/>
      <c r="L102" s="275"/>
      <c r="M102" s="275"/>
      <c r="N102" s="269"/>
      <c r="O102" s="391"/>
      <c r="P102" s="275"/>
      <c r="Q102" s="392"/>
      <c r="R102" s="275"/>
      <c r="S102" s="392"/>
      <c r="T102" s="393"/>
      <c r="U102" s="392"/>
      <c r="V102" s="393"/>
      <c r="W102" s="394"/>
      <c r="X102" s="393"/>
      <c r="Y102" s="390">
        <f t="shared" si="8"/>
        <v>0</v>
      </c>
      <c r="Z102" s="16">
        <f t="shared" si="5"/>
        <v>0</v>
      </c>
      <c r="AA102" s="392"/>
      <c r="AB102" s="393"/>
      <c r="AC102" s="393"/>
      <c r="AD102" s="393"/>
      <c r="AE102" s="139">
        <f t="shared" si="6"/>
        <v>0</v>
      </c>
      <c r="AF102" s="139" t="str">
        <f>IF('Sch2a-Imp Price by ECM'!C103="Yes", 0, 'Sch2a-Imp Price by ECM'!L103)</f>
        <v/>
      </c>
      <c r="AG102" s="159" t="str">
        <f t="shared" si="7"/>
        <v/>
      </c>
      <c r="AH102" s="4" t="str">
        <f>IF('Sch2a-Imp Price by ECM'!M103="","",'Sch2a-Imp Price by ECM'!M103)</f>
        <v/>
      </c>
    </row>
    <row r="103" spans="1:34" ht="17" thickBot="1">
      <c r="A103" s="75" t="str">
        <f>IF('Sch2a-Imp Price by ECM'!B104="","",'Sch2a-Imp Price by ECM'!B104)</f>
        <v/>
      </c>
      <c r="B103" s="174" t="str">
        <f>IF('Sch2a-Imp Price by ECM'!D104="","",'Sch2a-Imp Price by ECM'!D104)</f>
        <v/>
      </c>
      <c r="C103" s="400" t="str">
        <f>IF('Sch2a-Imp Price by ECM'!G104="","",'Sch2a-Imp Price by ECM'!G104)</f>
        <v/>
      </c>
      <c r="D103" s="274"/>
      <c r="E103" s="391"/>
      <c r="F103" s="391"/>
      <c r="G103" s="391"/>
      <c r="H103" s="391"/>
      <c r="I103" s="276"/>
      <c r="J103" s="391"/>
      <c r="K103" s="275"/>
      <c r="L103" s="275"/>
      <c r="M103" s="275"/>
      <c r="N103" s="269"/>
      <c r="O103" s="391"/>
      <c r="P103" s="275"/>
      <c r="Q103" s="392"/>
      <c r="R103" s="275"/>
      <c r="S103" s="392"/>
      <c r="T103" s="393"/>
      <c r="U103" s="392"/>
      <c r="V103" s="393"/>
      <c r="W103" s="394"/>
      <c r="X103" s="393"/>
      <c r="Y103" s="390">
        <f t="shared" si="8"/>
        <v>0</v>
      </c>
      <c r="Z103" s="16">
        <f t="shared" si="5"/>
        <v>0</v>
      </c>
      <c r="AA103" s="392"/>
      <c r="AB103" s="393"/>
      <c r="AC103" s="393"/>
      <c r="AD103" s="393"/>
      <c r="AE103" s="139">
        <f t="shared" si="6"/>
        <v>0</v>
      </c>
      <c r="AF103" s="139" t="str">
        <f>IF('Sch2a-Imp Price by ECM'!C104="Yes", 0, 'Sch2a-Imp Price by ECM'!L104)</f>
        <v/>
      </c>
      <c r="AG103" s="159" t="str">
        <f t="shared" si="7"/>
        <v/>
      </c>
      <c r="AH103" s="4" t="str">
        <f>IF('Sch2a-Imp Price by ECM'!M104="","",'Sch2a-Imp Price by ECM'!M104)</f>
        <v/>
      </c>
    </row>
    <row r="104" spans="1:34" ht="17" thickBot="1">
      <c r="A104" s="75" t="str">
        <f>IF('Sch2a-Imp Price by ECM'!B105="","",'Sch2a-Imp Price by ECM'!B105)</f>
        <v/>
      </c>
      <c r="B104" s="174" t="str">
        <f>IF('Sch2a-Imp Price by ECM'!D105="","",'Sch2a-Imp Price by ECM'!D105)</f>
        <v/>
      </c>
      <c r="C104" s="400" t="str">
        <f>IF('Sch2a-Imp Price by ECM'!G105="","",'Sch2a-Imp Price by ECM'!G105)</f>
        <v/>
      </c>
      <c r="D104" s="274"/>
      <c r="E104" s="391"/>
      <c r="F104" s="391"/>
      <c r="G104" s="391"/>
      <c r="H104" s="391"/>
      <c r="I104" s="276"/>
      <c r="J104" s="391"/>
      <c r="K104" s="275"/>
      <c r="L104" s="275"/>
      <c r="M104" s="275"/>
      <c r="N104" s="269"/>
      <c r="O104" s="391"/>
      <c r="P104" s="275"/>
      <c r="Q104" s="392"/>
      <c r="R104" s="275"/>
      <c r="S104" s="392"/>
      <c r="T104" s="393"/>
      <c r="U104" s="392"/>
      <c r="V104" s="393"/>
      <c r="W104" s="394"/>
      <c r="X104" s="393"/>
      <c r="Y104" s="390">
        <f t="shared" si="8"/>
        <v>0</v>
      </c>
      <c r="Z104" s="16">
        <f t="shared" si="5"/>
        <v>0</v>
      </c>
      <c r="AA104" s="392"/>
      <c r="AB104" s="393"/>
      <c r="AC104" s="393"/>
      <c r="AD104" s="393"/>
      <c r="AE104" s="139">
        <f t="shared" si="6"/>
        <v>0</v>
      </c>
      <c r="AF104" s="139" t="str">
        <f>IF('Sch2a-Imp Price by ECM'!C105="Yes", 0, 'Sch2a-Imp Price by ECM'!L105)</f>
        <v/>
      </c>
      <c r="AG104" s="159" t="str">
        <f t="shared" si="7"/>
        <v/>
      </c>
      <c r="AH104" s="4" t="str">
        <f>IF('Sch2a-Imp Price by ECM'!M105="","",'Sch2a-Imp Price by ECM'!M105)</f>
        <v/>
      </c>
    </row>
    <row r="105" spans="1:34" ht="17" thickBot="1">
      <c r="A105" s="75" t="str">
        <f>IF('Sch2a-Imp Price by ECM'!B106="","",'Sch2a-Imp Price by ECM'!B106)</f>
        <v/>
      </c>
      <c r="B105" s="174" t="str">
        <f>IF('Sch2a-Imp Price by ECM'!D106="","",'Sch2a-Imp Price by ECM'!D106)</f>
        <v/>
      </c>
      <c r="C105" s="400" t="str">
        <f>IF('Sch2a-Imp Price by ECM'!G106="","",'Sch2a-Imp Price by ECM'!G106)</f>
        <v/>
      </c>
      <c r="D105" s="274"/>
      <c r="E105" s="391"/>
      <c r="F105" s="391"/>
      <c r="G105" s="391"/>
      <c r="H105" s="391"/>
      <c r="I105" s="276"/>
      <c r="J105" s="391"/>
      <c r="K105" s="275"/>
      <c r="L105" s="275"/>
      <c r="M105" s="275"/>
      <c r="N105" s="269"/>
      <c r="O105" s="391"/>
      <c r="P105" s="275"/>
      <c r="Q105" s="392"/>
      <c r="R105" s="275"/>
      <c r="S105" s="392"/>
      <c r="T105" s="393"/>
      <c r="U105" s="392"/>
      <c r="V105" s="393"/>
      <c r="W105" s="394"/>
      <c r="X105" s="393"/>
      <c r="Y105" s="390">
        <f t="shared" si="8"/>
        <v>0</v>
      </c>
      <c r="Z105" s="16">
        <f t="shared" si="5"/>
        <v>0</v>
      </c>
      <c r="AA105" s="392"/>
      <c r="AB105" s="393"/>
      <c r="AC105" s="393"/>
      <c r="AD105" s="393"/>
      <c r="AE105" s="139">
        <f t="shared" si="6"/>
        <v>0</v>
      </c>
      <c r="AF105" s="139" t="str">
        <f>IF('Sch2a-Imp Price by ECM'!C106="Yes", 0, 'Sch2a-Imp Price by ECM'!L106)</f>
        <v/>
      </c>
      <c r="AG105" s="159" t="str">
        <f t="shared" si="7"/>
        <v/>
      </c>
      <c r="AH105" s="4" t="str">
        <f>IF('Sch2a-Imp Price by ECM'!M106="","",'Sch2a-Imp Price by ECM'!M106)</f>
        <v/>
      </c>
    </row>
    <row r="106" spans="1:34" ht="17" thickBot="1">
      <c r="A106" s="75" t="str">
        <f>IF('Sch2a-Imp Price by ECM'!B107="","",'Sch2a-Imp Price by ECM'!B107)</f>
        <v/>
      </c>
      <c r="B106" s="174" t="str">
        <f>IF('Sch2a-Imp Price by ECM'!D107="","",'Sch2a-Imp Price by ECM'!D107)</f>
        <v/>
      </c>
      <c r="C106" s="400" t="str">
        <f>IF('Sch2a-Imp Price by ECM'!G107="","",'Sch2a-Imp Price by ECM'!G107)</f>
        <v/>
      </c>
      <c r="D106" s="274"/>
      <c r="E106" s="391"/>
      <c r="F106" s="391"/>
      <c r="G106" s="391"/>
      <c r="H106" s="391"/>
      <c r="I106" s="276"/>
      <c r="J106" s="391"/>
      <c r="K106" s="275"/>
      <c r="L106" s="275"/>
      <c r="M106" s="275"/>
      <c r="N106" s="269"/>
      <c r="O106" s="391"/>
      <c r="P106" s="275"/>
      <c r="Q106" s="392"/>
      <c r="R106" s="275"/>
      <c r="S106" s="392"/>
      <c r="T106" s="393"/>
      <c r="U106" s="392"/>
      <c r="V106" s="393"/>
      <c r="W106" s="394"/>
      <c r="X106" s="393"/>
      <c r="Y106" s="390">
        <f t="shared" si="8"/>
        <v>0</v>
      </c>
      <c r="Z106" s="16">
        <f t="shared" si="5"/>
        <v>0</v>
      </c>
      <c r="AA106" s="392"/>
      <c r="AB106" s="393"/>
      <c r="AC106" s="393"/>
      <c r="AD106" s="393"/>
      <c r="AE106" s="139">
        <f t="shared" si="6"/>
        <v>0</v>
      </c>
      <c r="AF106" s="139" t="str">
        <f>IF('Sch2a-Imp Price by ECM'!C107="Yes", 0, 'Sch2a-Imp Price by ECM'!L107)</f>
        <v/>
      </c>
      <c r="AG106" s="159" t="str">
        <f t="shared" si="7"/>
        <v/>
      </c>
      <c r="AH106" s="4" t="str">
        <f>IF('Sch2a-Imp Price by ECM'!M107="","",'Sch2a-Imp Price by ECM'!M107)</f>
        <v/>
      </c>
    </row>
    <row r="107" spans="1:34" ht="17" thickBot="1">
      <c r="A107" s="75" t="str">
        <f>IF('Sch2a-Imp Price by ECM'!B108="","",'Sch2a-Imp Price by ECM'!B108)</f>
        <v/>
      </c>
      <c r="B107" s="174" t="str">
        <f>IF('Sch2a-Imp Price by ECM'!D108="","",'Sch2a-Imp Price by ECM'!D108)</f>
        <v/>
      </c>
      <c r="C107" s="400" t="str">
        <f>IF('Sch2a-Imp Price by ECM'!G108="","",'Sch2a-Imp Price by ECM'!G108)</f>
        <v/>
      </c>
      <c r="D107" s="274"/>
      <c r="E107" s="391"/>
      <c r="F107" s="391"/>
      <c r="G107" s="391"/>
      <c r="H107" s="391"/>
      <c r="I107" s="276"/>
      <c r="J107" s="391"/>
      <c r="K107" s="275"/>
      <c r="L107" s="275"/>
      <c r="M107" s="275"/>
      <c r="N107" s="269"/>
      <c r="O107" s="391"/>
      <c r="P107" s="275"/>
      <c r="Q107" s="392"/>
      <c r="R107" s="275"/>
      <c r="S107" s="392"/>
      <c r="T107" s="393"/>
      <c r="U107" s="392"/>
      <c r="V107" s="393"/>
      <c r="W107" s="394"/>
      <c r="X107" s="393"/>
      <c r="Y107" s="390">
        <f t="shared" si="8"/>
        <v>0</v>
      </c>
      <c r="Z107" s="16">
        <f t="shared" si="5"/>
        <v>0</v>
      </c>
      <c r="AA107" s="392"/>
      <c r="AB107" s="393"/>
      <c r="AC107" s="393"/>
      <c r="AD107" s="393"/>
      <c r="AE107" s="139">
        <f t="shared" si="6"/>
        <v>0</v>
      </c>
      <c r="AF107" s="139" t="str">
        <f>IF('Sch2a-Imp Price by ECM'!C108="Yes", 0, 'Sch2a-Imp Price by ECM'!L108)</f>
        <v/>
      </c>
      <c r="AG107" s="159" t="str">
        <f t="shared" si="7"/>
        <v/>
      </c>
      <c r="AH107" s="4" t="str">
        <f>IF('Sch2a-Imp Price by ECM'!M108="","",'Sch2a-Imp Price by ECM'!M108)</f>
        <v/>
      </c>
    </row>
    <row r="108" spans="1:34" ht="17" thickBot="1">
      <c r="A108" s="75" t="str">
        <f>IF('Sch2a-Imp Price by ECM'!B109="","",'Sch2a-Imp Price by ECM'!B109)</f>
        <v/>
      </c>
      <c r="B108" s="174" t="str">
        <f>IF('Sch2a-Imp Price by ECM'!D109="","",'Sch2a-Imp Price by ECM'!D109)</f>
        <v/>
      </c>
      <c r="C108" s="400" t="str">
        <f>IF('Sch2a-Imp Price by ECM'!G109="","",'Sch2a-Imp Price by ECM'!G109)</f>
        <v/>
      </c>
      <c r="D108" s="274"/>
      <c r="E108" s="391"/>
      <c r="F108" s="391"/>
      <c r="G108" s="391"/>
      <c r="H108" s="391"/>
      <c r="I108" s="276"/>
      <c r="J108" s="391"/>
      <c r="K108" s="275"/>
      <c r="L108" s="275"/>
      <c r="M108" s="275"/>
      <c r="N108" s="269"/>
      <c r="O108" s="391"/>
      <c r="P108" s="275"/>
      <c r="Q108" s="392"/>
      <c r="R108" s="275"/>
      <c r="S108" s="392"/>
      <c r="T108" s="393"/>
      <c r="U108" s="392"/>
      <c r="V108" s="393"/>
      <c r="W108" s="394"/>
      <c r="X108" s="393"/>
      <c r="Y108" s="390">
        <f t="shared" si="8"/>
        <v>0</v>
      </c>
      <c r="Z108" s="16">
        <f t="shared" si="5"/>
        <v>0</v>
      </c>
      <c r="AA108" s="392"/>
      <c r="AB108" s="393"/>
      <c r="AC108" s="393"/>
      <c r="AD108" s="393"/>
      <c r="AE108" s="139">
        <f t="shared" si="6"/>
        <v>0</v>
      </c>
      <c r="AF108" s="139" t="str">
        <f>IF('Sch2a-Imp Price by ECM'!C109="Yes", 0, 'Sch2a-Imp Price by ECM'!L109)</f>
        <v/>
      </c>
      <c r="AG108" s="159" t="str">
        <f t="shared" si="7"/>
        <v/>
      </c>
      <c r="AH108" s="4" t="str">
        <f>IF('Sch2a-Imp Price by ECM'!M109="","",'Sch2a-Imp Price by ECM'!M109)</f>
        <v/>
      </c>
    </row>
    <row r="109" spans="1:34" ht="17" thickBot="1">
      <c r="A109" s="75" t="str">
        <f>IF('Sch2a-Imp Price by ECM'!B110="","",'Sch2a-Imp Price by ECM'!B110)</f>
        <v/>
      </c>
      <c r="B109" s="174" t="str">
        <f>IF('Sch2a-Imp Price by ECM'!D110="","",'Sch2a-Imp Price by ECM'!D110)</f>
        <v/>
      </c>
      <c r="C109" s="400" t="str">
        <f>IF('Sch2a-Imp Price by ECM'!G110="","",'Sch2a-Imp Price by ECM'!G110)</f>
        <v/>
      </c>
      <c r="D109" s="274"/>
      <c r="E109" s="391"/>
      <c r="F109" s="391"/>
      <c r="G109" s="391"/>
      <c r="H109" s="391"/>
      <c r="I109" s="276"/>
      <c r="J109" s="391"/>
      <c r="K109" s="275"/>
      <c r="L109" s="275"/>
      <c r="M109" s="275"/>
      <c r="N109" s="269"/>
      <c r="O109" s="391"/>
      <c r="P109" s="275"/>
      <c r="Q109" s="392"/>
      <c r="R109" s="275"/>
      <c r="S109" s="392"/>
      <c r="T109" s="393"/>
      <c r="U109" s="392"/>
      <c r="V109" s="393"/>
      <c r="W109" s="394"/>
      <c r="X109" s="393"/>
      <c r="Y109" s="390">
        <f t="shared" si="8"/>
        <v>0</v>
      </c>
      <c r="Z109" s="16">
        <f t="shared" si="5"/>
        <v>0</v>
      </c>
      <c r="AA109" s="392"/>
      <c r="AB109" s="393"/>
      <c r="AC109" s="393"/>
      <c r="AD109" s="393"/>
      <c r="AE109" s="139">
        <f t="shared" si="6"/>
        <v>0</v>
      </c>
      <c r="AF109" s="139" t="str">
        <f>IF('Sch2a-Imp Price by ECM'!C110="Yes", 0, 'Sch2a-Imp Price by ECM'!L110)</f>
        <v/>
      </c>
      <c r="AG109" s="159" t="str">
        <f t="shared" si="7"/>
        <v/>
      </c>
      <c r="AH109" s="4" t="str">
        <f>IF('Sch2a-Imp Price by ECM'!M110="","",'Sch2a-Imp Price by ECM'!M110)</f>
        <v/>
      </c>
    </row>
    <row r="110" spans="1:34" ht="17" thickBot="1">
      <c r="A110" s="75" t="str">
        <f>IF('Sch2a-Imp Price by ECM'!B111="","",'Sch2a-Imp Price by ECM'!B111)</f>
        <v/>
      </c>
      <c r="B110" s="174" t="str">
        <f>IF('Sch2a-Imp Price by ECM'!D111="","",'Sch2a-Imp Price by ECM'!D111)</f>
        <v/>
      </c>
      <c r="C110" s="400" t="str">
        <f>IF('Sch2a-Imp Price by ECM'!G111="","",'Sch2a-Imp Price by ECM'!G111)</f>
        <v/>
      </c>
      <c r="D110" s="274"/>
      <c r="E110" s="391"/>
      <c r="F110" s="391"/>
      <c r="G110" s="391"/>
      <c r="H110" s="391"/>
      <c r="I110" s="276"/>
      <c r="J110" s="391"/>
      <c r="K110" s="275"/>
      <c r="L110" s="275"/>
      <c r="M110" s="275"/>
      <c r="N110" s="269"/>
      <c r="O110" s="391"/>
      <c r="P110" s="275"/>
      <c r="Q110" s="392"/>
      <c r="R110" s="275"/>
      <c r="S110" s="392"/>
      <c r="T110" s="393"/>
      <c r="U110" s="392"/>
      <c r="V110" s="393"/>
      <c r="W110" s="394"/>
      <c r="X110" s="393"/>
      <c r="Y110" s="390">
        <f t="shared" si="8"/>
        <v>0</v>
      </c>
      <c r="Z110" s="16">
        <f t="shared" si="5"/>
        <v>0</v>
      </c>
      <c r="AA110" s="392"/>
      <c r="AB110" s="393"/>
      <c r="AC110" s="393"/>
      <c r="AD110" s="393"/>
      <c r="AE110" s="139">
        <f t="shared" si="6"/>
        <v>0</v>
      </c>
      <c r="AF110" s="139" t="str">
        <f>IF('Sch2a-Imp Price by ECM'!C111="Yes", 0, 'Sch2a-Imp Price by ECM'!L111)</f>
        <v/>
      </c>
      <c r="AG110" s="159" t="str">
        <f t="shared" si="7"/>
        <v/>
      </c>
      <c r="AH110" s="4" t="str">
        <f>IF('Sch2a-Imp Price by ECM'!M111="","",'Sch2a-Imp Price by ECM'!M111)</f>
        <v/>
      </c>
    </row>
    <row r="111" spans="1:34" ht="17" thickBot="1">
      <c r="A111" s="75" t="str">
        <f>IF('Sch2a-Imp Price by ECM'!B112="","",'Sch2a-Imp Price by ECM'!B112)</f>
        <v/>
      </c>
      <c r="B111" s="174" t="str">
        <f>IF('Sch2a-Imp Price by ECM'!D112="","",'Sch2a-Imp Price by ECM'!D112)</f>
        <v/>
      </c>
      <c r="C111" s="400" t="str">
        <f>IF('Sch2a-Imp Price by ECM'!G112="","",'Sch2a-Imp Price by ECM'!G112)</f>
        <v/>
      </c>
      <c r="D111" s="274"/>
      <c r="E111" s="391"/>
      <c r="F111" s="391"/>
      <c r="G111" s="391"/>
      <c r="H111" s="391"/>
      <c r="I111" s="276"/>
      <c r="J111" s="391"/>
      <c r="K111" s="275"/>
      <c r="L111" s="275"/>
      <c r="M111" s="275"/>
      <c r="N111" s="269"/>
      <c r="O111" s="391"/>
      <c r="P111" s="275"/>
      <c r="Q111" s="392"/>
      <c r="R111" s="275"/>
      <c r="S111" s="392"/>
      <c r="T111" s="393"/>
      <c r="U111" s="392"/>
      <c r="V111" s="393"/>
      <c r="W111" s="394"/>
      <c r="X111" s="393"/>
      <c r="Y111" s="390">
        <f t="shared" si="8"/>
        <v>0</v>
      </c>
      <c r="Z111" s="16">
        <f t="shared" si="5"/>
        <v>0</v>
      </c>
      <c r="AA111" s="392"/>
      <c r="AB111" s="393"/>
      <c r="AC111" s="393"/>
      <c r="AD111" s="393"/>
      <c r="AE111" s="139">
        <f t="shared" si="6"/>
        <v>0</v>
      </c>
      <c r="AF111" s="139" t="str">
        <f>IF('Sch2a-Imp Price by ECM'!C112="Yes", 0, 'Sch2a-Imp Price by ECM'!L112)</f>
        <v/>
      </c>
      <c r="AG111" s="159" t="str">
        <f t="shared" si="7"/>
        <v/>
      </c>
      <c r="AH111" s="4" t="str">
        <f>IF('Sch2a-Imp Price by ECM'!M112="","",'Sch2a-Imp Price by ECM'!M112)</f>
        <v/>
      </c>
    </row>
    <row r="112" spans="1:34" ht="17" thickBot="1">
      <c r="A112" s="75" t="str">
        <f>IF('Sch2a-Imp Price by ECM'!B113="","",'Sch2a-Imp Price by ECM'!B113)</f>
        <v/>
      </c>
      <c r="B112" s="174" t="str">
        <f>IF('Sch2a-Imp Price by ECM'!D113="","",'Sch2a-Imp Price by ECM'!D113)</f>
        <v/>
      </c>
      <c r="C112" s="400" t="str">
        <f>IF('Sch2a-Imp Price by ECM'!G113="","",'Sch2a-Imp Price by ECM'!G113)</f>
        <v/>
      </c>
      <c r="D112" s="274"/>
      <c r="E112" s="391"/>
      <c r="F112" s="391"/>
      <c r="G112" s="391"/>
      <c r="H112" s="391"/>
      <c r="I112" s="276"/>
      <c r="J112" s="391"/>
      <c r="K112" s="275"/>
      <c r="L112" s="275"/>
      <c r="M112" s="275"/>
      <c r="N112" s="269"/>
      <c r="O112" s="391"/>
      <c r="P112" s="275"/>
      <c r="Q112" s="392"/>
      <c r="R112" s="275"/>
      <c r="S112" s="392"/>
      <c r="T112" s="393"/>
      <c r="U112" s="392"/>
      <c r="V112" s="393"/>
      <c r="W112" s="394"/>
      <c r="X112" s="393"/>
      <c r="Y112" s="390">
        <f t="shared" si="8"/>
        <v>0</v>
      </c>
      <c r="Z112" s="16">
        <f t="shared" si="5"/>
        <v>0</v>
      </c>
      <c r="AA112" s="392"/>
      <c r="AB112" s="393"/>
      <c r="AC112" s="393"/>
      <c r="AD112" s="393"/>
      <c r="AE112" s="139">
        <f t="shared" si="6"/>
        <v>0</v>
      </c>
      <c r="AF112" s="139" t="str">
        <f>IF('Sch2a-Imp Price by ECM'!C113="Yes", 0, 'Sch2a-Imp Price by ECM'!L113)</f>
        <v/>
      </c>
      <c r="AG112" s="159" t="str">
        <f t="shared" si="7"/>
        <v/>
      </c>
      <c r="AH112" s="4" t="str">
        <f>IF('Sch2a-Imp Price by ECM'!M113="","",'Sch2a-Imp Price by ECM'!M113)</f>
        <v/>
      </c>
    </row>
    <row r="113" spans="1:34" ht="17" thickBot="1">
      <c r="A113" s="75" t="str">
        <f>IF('Sch2a-Imp Price by ECM'!B114="","",'Sch2a-Imp Price by ECM'!B114)</f>
        <v/>
      </c>
      <c r="B113" s="174" t="str">
        <f>IF('Sch2a-Imp Price by ECM'!D114="","",'Sch2a-Imp Price by ECM'!D114)</f>
        <v/>
      </c>
      <c r="C113" s="400" t="str">
        <f>IF('Sch2a-Imp Price by ECM'!G114="","",'Sch2a-Imp Price by ECM'!G114)</f>
        <v/>
      </c>
      <c r="D113" s="274"/>
      <c r="E113" s="391"/>
      <c r="F113" s="391"/>
      <c r="G113" s="391"/>
      <c r="H113" s="391"/>
      <c r="I113" s="276"/>
      <c r="J113" s="391"/>
      <c r="K113" s="275"/>
      <c r="L113" s="275"/>
      <c r="M113" s="275"/>
      <c r="N113" s="269"/>
      <c r="O113" s="391"/>
      <c r="P113" s="275"/>
      <c r="Q113" s="392"/>
      <c r="R113" s="275"/>
      <c r="S113" s="392"/>
      <c r="T113" s="393"/>
      <c r="U113" s="392"/>
      <c r="V113" s="393"/>
      <c r="W113" s="394"/>
      <c r="X113" s="393"/>
      <c r="Y113" s="390">
        <f t="shared" si="8"/>
        <v>0</v>
      </c>
      <c r="Z113" s="16">
        <f t="shared" si="5"/>
        <v>0</v>
      </c>
      <c r="AA113" s="392"/>
      <c r="AB113" s="393"/>
      <c r="AC113" s="393"/>
      <c r="AD113" s="393"/>
      <c r="AE113" s="139">
        <f t="shared" si="6"/>
        <v>0</v>
      </c>
      <c r="AF113" s="139" t="str">
        <f>IF('Sch2a-Imp Price by ECM'!C114="Yes", 0, 'Sch2a-Imp Price by ECM'!L114)</f>
        <v/>
      </c>
      <c r="AG113" s="159" t="str">
        <f t="shared" si="7"/>
        <v/>
      </c>
      <c r="AH113" s="4" t="str">
        <f>IF('Sch2a-Imp Price by ECM'!M114="","",'Sch2a-Imp Price by ECM'!M114)</f>
        <v/>
      </c>
    </row>
    <row r="114" spans="1:34" ht="17" thickBot="1">
      <c r="A114" s="75" t="str">
        <f>IF('Sch2a-Imp Price by ECM'!B115="","",'Sch2a-Imp Price by ECM'!B115)</f>
        <v/>
      </c>
      <c r="B114" s="174" t="str">
        <f>IF('Sch2a-Imp Price by ECM'!D115="","",'Sch2a-Imp Price by ECM'!D115)</f>
        <v/>
      </c>
      <c r="C114" s="400" t="str">
        <f>IF('Sch2a-Imp Price by ECM'!G115="","",'Sch2a-Imp Price by ECM'!G115)</f>
        <v/>
      </c>
      <c r="D114" s="274"/>
      <c r="E114" s="391"/>
      <c r="F114" s="391"/>
      <c r="G114" s="391"/>
      <c r="H114" s="391"/>
      <c r="I114" s="276"/>
      <c r="J114" s="391"/>
      <c r="K114" s="275"/>
      <c r="L114" s="275"/>
      <c r="M114" s="275"/>
      <c r="N114" s="276"/>
      <c r="O114" s="391"/>
      <c r="P114" s="275"/>
      <c r="Q114" s="392"/>
      <c r="R114" s="275"/>
      <c r="S114" s="392"/>
      <c r="T114" s="393"/>
      <c r="U114" s="392"/>
      <c r="V114" s="393"/>
      <c r="W114" s="394"/>
      <c r="X114" s="393"/>
      <c r="Y114" s="390">
        <f t="shared" si="8"/>
        <v>0</v>
      </c>
      <c r="Z114" s="16">
        <f t="shared" si="5"/>
        <v>0</v>
      </c>
      <c r="AA114" s="392"/>
      <c r="AB114" s="393"/>
      <c r="AC114" s="393"/>
      <c r="AD114" s="393"/>
      <c r="AE114" s="139">
        <f t="shared" si="6"/>
        <v>0</v>
      </c>
      <c r="AF114" s="139" t="str">
        <f>IF('Sch2a-Imp Price by ECM'!C115="Yes", 0, 'Sch2a-Imp Price by ECM'!L115)</f>
        <v/>
      </c>
      <c r="AG114" s="159" t="str">
        <f t="shared" si="7"/>
        <v/>
      </c>
      <c r="AH114" s="4" t="str">
        <f>IF('Sch2a-Imp Price by ECM'!M115="","",'Sch2a-Imp Price by ECM'!M115)</f>
        <v/>
      </c>
    </row>
    <row r="115" spans="1:34" ht="17" thickBot="1">
      <c r="A115" s="75" t="str">
        <f>IF('Sch2a-Imp Price by ECM'!B116="","",'Sch2a-Imp Price by ECM'!B116)</f>
        <v/>
      </c>
      <c r="B115" s="174" t="str">
        <f>IF('Sch2a-Imp Price by ECM'!D116="","",'Sch2a-Imp Price by ECM'!D116)</f>
        <v/>
      </c>
      <c r="C115" s="400" t="str">
        <f>IF('Sch2a-Imp Price by ECM'!G116="","",'Sch2a-Imp Price by ECM'!G116)</f>
        <v/>
      </c>
      <c r="D115" s="274"/>
      <c r="E115" s="391"/>
      <c r="F115" s="391"/>
      <c r="G115" s="391"/>
      <c r="H115" s="391"/>
      <c r="I115" s="276"/>
      <c r="J115" s="391"/>
      <c r="K115" s="275"/>
      <c r="L115" s="275"/>
      <c r="M115" s="275"/>
      <c r="N115" s="276"/>
      <c r="O115" s="391"/>
      <c r="P115" s="275"/>
      <c r="Q115" s="392"/>
      <c r="R115" s="275"/>
      <c r="S115" s="392"/>
      <c r="T115" s="393"/>
      <c r="U115" s="392"/>
      <c r="V115" s="393"/>
      <c r="W115" s="394"/>
      <c r="X115" s="393"/>
      <c r="Y115" s="390">
        <f t="shared" si="8"/>
        <v>0</v>
      </c>
      <c r="Z115" s="16">
        <f t="shared" si="5"/>
        <v>0</v>
      </c>
      <c r="AA115" s="392"/>
      <c r="AB115" s="393"/>
      <c r="AC115" s="393"/>
      <c r="AD115" s="393"/>
      <c r="AE115" s="139">
        <f t="shared" si="6"/>
        <v>0</v>
      </c>
      <c r="AF115" s="139" t="str">
        <f>IF('Sch2a-Imp Price by ECM'!C116="Yes", 0, 'Sch2a-Imp Price by ECM'!L116)</f>
        <v/>
      </c>
      <c r="AG115" s="159" t="str">
        <f t="shared" si="7"/>
        <v/>
      </c>
      <c r="AH115" s="4" t="str">
        <f>IF('Sch2a-Imp Price by ECM'!M116="","",'Sch2a-Imp Price by ECM'!M116)</f>
        <v/>
      </c>
    </row>
    <row r="116" spans="1:34" ht="17" thickBot="1">
      <c r="A116" s="75" t="str">
        <f>IF('Sch2a-Imp Price by ECM'!B117="","",'Sch2a-Imp Price by ECM'!B117)</f>
        <v/>
      </c>
      <c r="B116" s="174" t="str">
        <f>IF('Sch2a-Imp Price by ECM'!D117="","",'Sch2a-Imp Price by ECM'!D117)</f>
        <v/>
      </c>
      <c r="C116" s="400" t="str">
        <f>IF('Sch2a-Imp Price by ECM'!G117="","",'Sch2a-Imp Price by ECM'!G117)</f>
        <v/>
      </c>
      <c r="D116" s="274"/>
      <c r="E116" s="391"/>
      <c r="F116" s="391"/>
      <c r="G116" s="391"/>
      <c r="H116" s="391"/>
      <c r="I116" s="276"/>
      <c r="J116" s="391"/>
      <c r="K116" s="275"/>
      <c r="L116" s="275"/>
      <c r="M116" s="275"/>
      <c r="N116" s="276"/>
      <c r="O116" s="391"/>
      <c r="P116" s="275"/>
      <c r="Q116" s="392"/>
      <c r="R116" s="275"/>
      <c r="S116" s="392"/>
      <c r="T116" s="393"/>
      <c r="U116" s="392"/>
      <c r="V116" s="393"/>
      <c r="W116" s="394"/>
      <c r="X116" s="393"/>
      <c r="Y116" s="390">
        <f t="shared" si="8"/>
        <v>0</v>
      </c>
      <c r="Z116" s="16">
        <f t="shared" si="5"/>
        <v>0</v>
      </c>
      <c r="AA116" s="392"/>
      <c r="AB116" s="393"/>
      <c r="AC116" s="393"/>
      <c r="AD116" s="393"/>
      <c r="AE116" s="139">
        <f t="shared" si="6"/>
        <v>0</v>
      </c>
      <c r="AF116" s="139" t="str">
        <f>IF('Sch2a-Imp Price by ECM'!C117="Yes", 0, 'Sch2a-Imp Price by ECM'!L117)</f>
        <v/>
      </c>
      <c r="AG116" s="159" t="str">
        <f t="shared" si="7"/>
        <v/>
      </c>
      <c r="AH116" s="4" t="str">
        <f>IF('Sch2a-Imp Price by ECM'!M117="","",'Sch2a-Imp Price by ECM'!M117)</f>
        <v/>
      </c>
    </row>
    <row r="117" spans="1:34" ht="17" thickBot="1">
      <c r="A117" s="75" t="str">
        <f>IF('Sch2a-Imp Price by ECM'!B118="","",'Sch2a-Imp Price by ECM'!B118)</f>
        <v/>
      </c>
      <c r="B117" s="174" t="str">
        <f>IF('Sch2a-Imp Price by ECM'!D118="","",'Sch2a-Imp Price by ECM'!D118)</f>
        <v/>
      </c>
      <c r="C117" s="400" t="str">
        <f>IF('Sch2a-Imp Price by ECM'!G118="","",'Sch2a-Imp Price by ECM'!G118)</f>
        <v/>
      </c>
      <c r="D117" s="274"/>
      <c r="E117" s="391"/>
      <c r="F117" s="391"/>
      <c r="G117" s="391"/>
      <c r="H117" s="391"/>
      <c r="I117" s="276"/>
      <c r="J117" s="391"/>
      <c r="K117" s="275"/>
      <c r="L117" s="275"/>
      <c r="M117" s="275"/>
      <c r="N117" s="276"/>
      <c r="O117" s="391"/>
      <c r="P117" s="275"/>
      <c r="Q117" s="392"/>
      <c r="R117" s="275"/>
      <c r="S117" s="392"/>
      <c r="T117" s="393"/>
      <c r="U117" s="392"/>
      <c r="V117" s="393"/>
      <c r="W117" s="394"/>
      <c r="X117" s="393"/>
      <c r="Y117" s="390">
        <f t="shared" si="8"/>
        <v>0</v>
      </c>
      <c r="Z117" s="16">
        <f t="shared" si="5"/>
        <v>0</v>
      </c>
      <c r="AA117" s="392"/>
      <c r="AB117" s="393"/>
      <c r="AC117" s="393"/>
      <c r="AD117" s="393"/>
      <c r="AE117" s="139">
        <f t="shared" si="6"/>
        <v>0</v>
      </c>
      <c r="AF117" s="139" t="str">
        <f>IF('Sch2a-Imp Price by ECM'!C118="Yes", 0, 'Sch2a-Imp Price by ECM'!L118)</f>
        <v/>
      </c>
      <c r="AG117" s="159" t="str">
        <f t="shared" si="7"/>
        <v/>
      </c>
      <c r="AH117" s="4" t="str">
        <f>IF('Sch2a-Imp Price by ECM'!M118="","",'Sch2a-Imp Price by ECM'!M118)</f>
        <v/>
      </c>
    </row>
    <row r="118" spans="1:34" ht="18" customHeight="1" thickBot="1">
      <c r="A118" s="75" t="str">
        <f>IF('Sch2a-Imp Price by ECM'!B119="","",'Sch2a-Imp Price by ECM'!B119)</f>
        <v/>
      </c>
      <c r="B118" s="174" t="str">
        <f>IF('Sch2a-Imp Price by ECM'!D119="","",'Sch2a-Imp Price by ECM'!D119)</f>
        <v/>
      </c>
      <c r="C118" s="400" t="str">
        <f>IF('Sch2a-Imp Price by ECM'!G119="","",'Sch2a-Imp Price by ECM'!G119)</f>
        <v/>
      </c>
      <c r="D118" s="274"/>
      <c r="E118" s="391"/>
      <c r="F118" s="391"/>
      <c r="G118" s="391"/>
      <c r="H118" s="391"/>
      <c r="I118" s="276"/>
      <c r="J118" s="391"/>
      <c r="K118" s="275"/>
      <c r="L118" s="275"/>
      <c r="M118" s="275"/>
      <c r="N118" s="276"/>
      <c r="O118" s="391"/>
      <c r="P118" s="275"/>
      <c r="Q118" s="392"/>
      <c r="R118" s="275"/>
      <c r="S118" s="392"/>
      <c r="T118" s="393"/>
      <c r="U118" s="392"/>
      <c r="V118" s="393"/>
      <c r="W118" s="394"/>
      <c r="X118" s="393"/>
      <c r="Y118" s="390">
        <f t="shared" si="8"/>
        <v>0</v>
      </c>
      <c r="Z118" s="16">
        <f t="shared" si="5"/>
        <v>0</v>
      </c>
      <c r="AA118" s="392"/>
      <c r="AB118" s="393"/>
      <c r="AC118" s="393"/>
      <c r="AD118" s="393"/>
      <c r="AE118" s="139">
        <f t="shared" si="6"/>
        <v>0</v>
      </c>
      <c r="AF118" s="139" t="str">
        <f>IF('Sch2a-Imp Price by ECM'!C119="Yes", 0, 'Sch2a-Imp Price by ECM'!L119)</f>
        <v/>
      </c>
      <c r="AG118" s="159" t="str">
        <f t="shared" si="7"/>
        <v/>
      </c>
      <c r="AH118" s="4" t="str">
        <f>IF('Sch2a-Imp Price by ECM'!M119="","",'Sch2a-Imp Price by ECM'!M119)</f>
        <v/>
      </c>
    </row>
    <row r="119" spans="1:34" ht="17" thickBot="1">
      <c r="A119" s="75" t="str">
        <f>IF('Sch2a-Imp Price by ECM'!B120="","",'Sch2a-Imp Price by ECM'!B120)</f>
        <v/>
      </c>
      <c r="B119" s="174" t="str">
        <f>IF('Sch2a-Imp Price by ECM'!D120="","",'Sch2a-Imp Price by ECM'!D120)</f>
        <v/>
      </c>
      <c r="C119" s="400" t="str">
        <f>IF('Sch2a-Imp Price by ECM'!G120="","",'Sch2a-Imp Price by ECM'!G120)</f>
        <v/>
      </c>
      <c r="D119" s="274"/>
      <c r="E119" s="391"/>
      <c r="F119" s="391"/>
      <c r="G119" s="391"/>
      <c r="H119" s="391"/>
      <c r="I119" s="276"/>
      <c r="J119" s="391"/>
      <c r="K119" s="275"/>
      <c r="L119" s="275"/>
      <c r="M119" s="275"/>
      <c r="N119" s="276"/>
      <c r="O119" s="391"/>
      <c r="P119" s="275"/>
      <c r="Q119" s="392"/>
      <c r="R119" s="275"/>
      <c r="S119" s="392"/>
      <c r="T119" s="393"/>
      <c r="U119" s="392"/>
      <c r="V119" s="393"/>
      <c r="W119" s="394"/>
      <c r="X119" s="393"/>
      <c r="Y119" s="390">
        <f t="shared" si="8"/>
        <v>0</v>
      </c>
      <c r="Z119" s="16">
        <f t="shared" si="5"/>
        <v>0</v>
      </c>
      <c r="AA119" s="392"/>
      <c r="AB119" s="393"/>
      <c r="AC119" s="393"/>
      <c r="AD119" s="393"/>
      <c r="AE119" s="139">
        <f t="shared" si="6"/>
        <v>0</v>
      </c>
      <c r="AF119" s="139" t="str">
        <f>IF('Sch2a-Imp Price by ECM'!C120="Yes", 0, 'Sch2a-Imp Price by ECM'!L120)</f>
        <v/>
      </c>
      <c r="AG119" s="159" t="str">
        <f t="shared" si="7"/>
        <v/>
      </c>
      <c r="AH119" s="4" t="str">
        <f>IF('Sch2a-Imp Price by ECM'!M120="","",'Sch2a-Imp Price by ECM'!M120)</f>
        <v/>
      </c>
    </row>
    <row r="120" spans="1:34" ht="17" thickBot="1">
      <c r="A120" s="75" t="str">
        <f>IF('Sch2a-Imp Price by ECM'!B121="","",'Sch2a-Imp Price by ECM'!B121)</f>
        <v/>
      </c>
      <c r="B120" s="174" t="str">
        <f>IF('Sch2a-Imp Price by ECM'!D121="","",'Sch2a-Imp Price by ECM'!D121)</f>
        <v/>
      </c>
      <c r="C120" s="400" t="str">
        <f>IF('Sch2a-Imp Price by ECM'!G121="","",'Sch2a-Imp Price by ECM'!G121)</f>
        <v/>
      </c>
      <c r="D120" s="274"/>
      <c r="E120" s="391"/>
      <c r="F120" s="391"/>
      <c r="G120" s="391"/>
      <c r="H120" s="391"/>
      <c r="I120" s="276"/>
      <c r="J120" s="391"/>
      <c r="K120" s="275"/>
      <c r="L120" s="275"/>
      <c r="M120" s="275"/>
      <c r="N120" s="276"/>
      <c r="O120" s="391"/>
      <c r="P120" s="275"/>
      <c r="Q120" s="392"/>
      <c r="R120" s="275"/>
      <c r="S120" s="392"/>
      <c r="T120" s="393"/>
      <c r="U120" s="392"/>
      <c r="V120" s="393"/>
      <c r="W120" s="394"/>
      <c r="X120" s="393"/>
      <c r="Y120" s="390">
        <f t="shared" si="8"/>
        <v>0</v>
      </c>
      <c r="Z120" s="16">
        <f t="shared" si="5"/>
        <v>0</v>
      </c>
      <c r="AA120" s="392"/>
      <c r="AB120" s="393"/>
      <c r="AC120" s="393"/>
      <c r="AD120" s="393"/>
      <c r="AE120" s="139">
        <f t="shared" si="6"/>
        <v>0</v>
      </c>
      <c r="AF120" s="139" t="str">
        <f>IF('Sch2a-Imp Price by ECM'!C121="Yes", 0, 'Sch2a-Imp Price by ECM'!L121)</f>
        <v/>
      </c>
      <c r="AG120" s="159" t="str">
        <f t="shared" si="7"/>
        <v/>
      </c>
      <c r="AH120" s="4" t="str">
        <f>IF('Sch2a-Imp Price by ECM'!M121="","",'Sch2a-Imp Price by ECM'!M121)</f>
        <v/>
      </c>
    </row>
    <row r="121" spans="1:34" ht="17" thickBot="1">
      <c r="A121" s="75" t="str">
        <f>IF('Sch2a-Imp Price by ECM'!B122="","",'Sch2a-Imp Price by ECM'!B122)</f>
        <v/>
      </c>
      <c r="B121" s="174" t="str">
        <f>IF('Sch2a-Imp Price by ECM'!D122="","",'Sch2a-Imp Price by ECM'!D122)</f>
        <v/>
      </c>
      <c r="C121" s="400" t="str">
        <f>IF('Sch2a-Imp Price by ECM'!G122="","",'Sch2a-Imp Price by ECM'!G122)</f>
        <v/>
      </c>
      <c r="D121" s="274"/>
      <c r="E121" s="391"/>
      <c r="F121" s="391"/>
      <c r="G121" s="391"/>
      <c r="H121" s="391"/>
      <c r="I121" s="276"/>
      <c r="J121" s="391"/>
      <c r="K121" s="275"/>
      <c r="L121" s="275"/>
      <c r="M121" s="275"/>
      <c r="N121" s="269"/>
      <c r="O121" s="391"/>
      <c r="P121" s="275"/>
      <c r="Q121" s="392"/>
      <c r="R121" s="275"/>
      <c r="S121" s="392"/>
      <c r="T121" s="393"/>
      <c r="U121" s="392"/>
      <c r="V121" s="393"/>
      <c r="W121" s="394"/>
      <c r="X121" s="393"/>
      <c r="Y121" s="390">
        <f t="shared" si="8"/>
        <v>0</v>
      </c>
      <c r="Z121" s="16">
        <f t="shared" si="5"/>
        <v>0</v>
      </c>
      <c r="AA121" s="392"/>
      <c r="AB121" s="393"/>
      <c r="AC121" s="393"/>
      <c r="AD121" s="393"/>
      <c r="AE121" s="139">
        <f t="shared" si="6"/>
        <v>0</v>
      </c>
      <c r="AF121" s="139" t="str">
        <f>IF('Sch2a-Imp Price by ECM'!C122="Yes", 0, 'Sch2a-Imp Price by ECM'!L122)</f>
        <v/>
      </c>
      <c r="AG121" s="159" t="str">
        <f t="shared" si="7"/>
        <v/>
      </c>
      <c r="AH121" s="4" t="str">
        <f>IF('Sch2a-Imp Price by ECM'!M122="","",'Sch2a-Imp Price by ECM'!M122)</f>
        <v/>
      </c>
    </row>
    <row r="122" spans="1:34" ht="17" thickBot="1">
      <c r="A122" s="75" t="str">
        <f>IF('Sch2a-Imp Price by ECM'!B123="","",'Sch2a-Imp Price by ECM'!B123)</f>
        <v/>
      </c>
      <c r="B122" s="174" t="str">
        <f>IF('Sch2a-Imp Price by ECM'!D123="","",'Sch2a-Imp Price by ECM'!D123)</f>
        <v/>
      </c>
      <c r="C122" s="400" t="str">
        <f>IF('Sch2a-Imp Price by ECM'!G123="","",'Sch2a-Imp Price by ECM'!G123)</f>
        <v/>
      </c>
      <c r="D122" s="274"/>
      <c r="E122" s="391"/>
      <c r="F122" s="391"/>
      <c r="G122" s="391"/>
      <c r="H122" s="391"/>
      <c r="I122" s="276"/>
      <c r="J122" s="391"/>
      <c r="K122" s="275"/>
      <c r="L122" s="275"/>
      <c r="M122" s="275"/>
      <c r="N122" s="269"/>
      <c r="O122" s="391"/>
      <c r="P122" s="275"/>
      <c r="Q122" s="392"/>
      <c r="R122" s="275"/>
      <c r="S122" s="392"/>
      <c r="T122" s="393"/>
      <c r="U122" s="392"/>
      <c r="V122" s="393"/>
      <c r="W122" s="394"/>
      <c r="X122" s="393"/>
      <c r="Y122" s="390">
        <f t="shared" si="8"/>
        <v>0</v>
      </c>
      <c r="Z122" s="16">
        <f t="shared" si="5"/>
        <v>0</v>
      </c>
      <c r="AA122" s="392"/>
      <c r="AB122" s="393"/>
      <c r="AC122" s="393"/>
      <c r="AD122" s="393"/>
      <c r="AE122" s="139">
        <f t="shared" si="6"/>
        <v>0</v>
      </c>
      <c r="AF122" s="139" t="str">
        <f>IF('Sch2a-Imp Price by ECM'!C123="Yes", 0, 'Sch2a-Imp Price by ECM'!L123)</f>
        <v/>
      </c>
      <c r="AG122" s="159" t="str">
        <f t="shared" si="7"/>
        <v/>
      </c>
      <c r="AH122" s="4" t="str">
        <f>IF('Sch2a-Imp Price by ECM'!M123="","",'Sch2a-Imp Price by ECM'!M123)</f>
        <v/>
      </c>
    </row>
    <row r="123" spans="1:34" ht="17" thickBot="1">
      <c r="A123" s="75" t="str">
        <f>IF('Sch2a-Imp Price by ECM'!B124="","",'Sch2a-Imp Price by ECM'!B124)</f>
        <v/>
      </c>
      <c r="B123" s="174" t="str">
        <f>IF('Sch2a-Imp Price by ECM'!D124="","",'Sch2a-Imp Price by ECM'!D124)</f>
        <v/>
      </c>
      <c r="C123" s="400" t="str">
        <f>IF('Sch2a-Imp Price by ECM'!G124="","",'Sch2a-Imp Price by ECM'!G124)</f>
        <v/>
      </c>
      <c r="D123" s="274"/>
      <c r="E123" s="391"/>
      <c r="F123" s="391"/>
      <c r="G123" s="391"/>
      <c r="H123" s="391"/>
      <c r="I123" s="276"/>
      <c r="J123" s="391"/>
      <c r="K123" s="275"/>
      <c r="L123" s="275"/>
      <c r="M123" s="275"/>
      <c r="N123" s="269"/>
      <c r="O123" s="391"/>
      <c r="P123" s="275"/>
      <c r="Q123" s="392"/>
      <c r="R123" s="275"/>
      <c r="S123" s="392"/>
      <c r="T123" s="393"/>
      <c r="U123" s="392"/>
      <c r="V123" s="393"/>
      <c r="W123" s="394"/>
      <c r="X123" s="393"/>
      <c r="Y123" s="390">
        <f t="shared" si="8"/>
        <v>0</v>
      </c>
      <c r="Z123" s="16">
        <f t="shared" si="5"/>
        <v>0</v>
      </c>
      <c r="AA123" s="392"/>
      <c r="AB123" s="393"/>
      <c r="AC123" s="393"/>
      <c r="AD123" s="393"/>
      <c r="AE123" s="139">
        <f t="shared" si="6"/>
        <v>0</v>
      </c>
      <c r="AF123" s="139" t="str">
        <f>IF('Sch2a-Imp Price by ECM'!C124="Yes", 0, 'Sch2a-Imp Price by ECM'!L124)</f>
        <v/>
      </c>
      <c r="AG123" s="159" t="str">
        <f t="shared" si="7"/>
        <v/>
      </c>
      <c r="AH123" s="4" t="str">
        <f>IF('Sch2a-Imp Price by ECM'!M124="","",'Sch2a-Imp Price by ECM'!M124)</f>
        <v/>
      </c>
    </row>
    <row r="124" spans="1:34" ht="17" thickBot="1">
      <c r="A124" s="75" t="str">
        <f>IF('Sch2a-Imp Price by ECM'!B125="","",'Sch2a-Imp Price by ECM'!B125)</f>
        <v/>
      </c>
      <c r="B124" s="174" t="str">
        <f>IF('Sch2a-Imp Price by ECM'!D125="","",'Sch2a-Imp Price by ECM'!D125)</f>
        <v/>
      </c>
      <c r="C124" s="400" t="str">
        <f>IF('Sch2a-Imp Price by ECM'!G125="","",'Sch2a-Imp Price by ECM'!G125)</f>
        <v/>
      </c>
      <c r="D124" s="274"/>
      <c r="E124" s="391"/>
      <c r="F124" s="391"/>
      <c r="G124" s="391"/>
      <c r="H124" s="391"/>
      <c r="I124" s="276"/>
      <c r="J124" s="391"/>
      <c r="K124" s="275"/>
      <c r="L124" s="275"/>
      <c r="M124" s="275"/>
      <c r="N124" s="269"/>
      <c r="O124" s="391"/>
      <c r="P124" s="275"/>
      <c r="Q124" s="392"/>
      <c r="R124" s="275"/>
      <c r="S124" s="392"/>
      <c r="T124" s="393"/>
      <c r="U124" s="392"/>
      <c r="V124" s="393"/>
      <c r="W124" s="394"/>
      <c r="X124" s="393"/>
      <c r="Y124" s="390">
        <f t="shared" si="8"/>
        <v>0</v>
      </c>
      <c r="Z124" s="16">
        <f t="shared" si="5"/>
        <v>0</v>
      </c>
      <c r="AA124" s="392"/>
      <c r="AB124" s="393"/>
      <c r="AC124" s="393"/>
      <c r="AD124" s="393"/>
      <c r="AE124" s="139">
        <f t="shared" si="6"/>
        <v>0</v>
      </c>
      <c r="AF124" s="139" t="str">
        <f>IF('Sch2a-Imp Price by ECM'!C125="Yes", 0, 'Sch2a-Imp Price by ECM'!L125)</f>
        <v/>
      </c>
      <c r="AG124" s="159" t="str">
        <f t="shared" si="7"/>
        <v/>
      </c>
      <c r="AH124" s="4" t="str">
        <f>IF('Sch2a-Imp Price by ECM'!M125="","",'Sch2a-Imp Price by ECM'!M125)</f>
        <v/>
      </c>
    </row>
    <row r="125" spans="1:34" ht="17" thickBot="1">
      <c r="A125" s="75" t="str">
        <f>IF('Sch2a-Imp Price by ECM'!B126="","",'Sch2a-Imp Price by ECM'!B126)</f>
        <v/>
      </c>
      <c r="B125" s="174" t="str">
        <f>IF('Sch2a-Imp Price by ECM'!D126="","",'Sch2a-Imp Price by ECM'!D126)</f>
        <v/>
      </c>
      <c r="C125" s="400" t="str">
        <f>IF('Sch2a-Imp Price by ECM'!G126="","",'Sch2a-Imp Price by ECM'!G126)</f>
        <v/>
      </c>
      <c r="D125" s="274"/>
      <c r="E125" s="391"/>
      <c r="F125" s="391"/>
      <c r="G125" s="391"/>
      <c r="H125" s="391"/>
      <c r="I125" s="276"/>
      <c r="J125" s="391"/>
      <c r="K125" s="275"/>
      <c r="L125" s="275"/>
      <c r="M125" s="275"/>
      <c r="N125" s="269"/>
      <c r="O125" s="391"/>
      <c r="P125" s="275"/>
      <c r="Q125" s="392"/>
      <c r="R125" s="275"/>
      <c r="S125" s="392"/>
      <c r="T125" s="393"/>
      <c r="U125" s="392"/>
      <c r="V125" s="393"/>
      <c r="W125" s="394"/>
      <c r="X125" s="393"/>
      <c r="Y125" s="390">
        <f t="shared" si="8"/>
        <v>0</v>
      </c>
      <c r="Z125" s="16">
        <f t="shared" si="5"/>
        <v>0</v>
      </c>
      <c r="AA125" s="392"/>
      <c r="AB125" s="393"/>
      <c r="AC125" s="393"/>
      <c r="AD125" s="393"/>
      <c r="AE125" s="139">
        <f t="shared" si="6"/>
        <v>0</v>
      </c>
      <c r="AF125" s="139" t="str">
        <f>IF('Sch2a-Imp Price by ECM'!C126="Yes", 0, 'Sch2a-Imp Price by ECM'!L126)</f>
        <v/>
      </c>
      <c r="AG125" s="159" t="str">
        <f t="shared" si="7"/>
        <v/>
      </c>
      <c r="AH125" s="4" t="str">
        <f>IF('Sch2a-Imp Price by ECM'!M126="","",'Sch2a-Imp Price by ECM'!M126)</f>
        <v/>
      </c>
    </row>
    <row r="126" spans="1:34" ht="17" thickBot="1">
      <c r="A126" s="75" t="str">
        <f>IF('Sch2a-Imp Price by ECM'!B127="","",'Sch2a-Imp Price by ECM'!B127)</f>
        <v/>
      </c>
      <c r="B126" s="174" t="str">
        <f>IF('Sch2a-Imp Price by ECM'!D127="","",'Sch2a-Imp Price by ECM'!D127)</f>
        <v/>
      </c>
      <c r="C126" s="400" t="str">
        <f>IF('Sch2a-Imp Price by ECM'!G127="","",'Sch2a-Imp Price by ECM'!G127)</f>
        <v/>
      </c>
      <c r="D126" s="274"/>
      <c r="E126" s="391"/>
      <c r="F126" s="391"/>
      <c r="G126" s="391"/>
      <c r="H126" s="391"/>
      <c r="I126" s="276"/>
      <c r="J126" s="391"/>
      <c r="K126" s="275"/>
      <c r="L126" s="275"/>
      <c r="M126" s="275"/>
      <c r="N126" s="269"/>
      <c r="O126" s="391"/>
      <c r="P126" s="275"/>
      <c r="Q126" s="392"/>
      <c r="R126" s="275"/>
      <c r="S126" s="392"/>
      <c r="T126" s="393"/>
      <c r="U126" s="392"/>
      <c r="V126" s="393"/>
      <c r="W126" s="394"/>
      <c r="X126" s="393"/>
      <c r="Y126" s="390">
        <f t="shared" si="8"/>
        <v>0</v>
      </c>
      <c r="Z126" s="16">
        <f t="shared" si="5"/>
        <v>0</v>
      </c>
      <c r="AA126" s="392"/>
      <c r="AB126" s="393"/>
      <c r="AC126" s="393"/>
      <c r="AD126" s="393"/>
      <c r="AE126" s="139">
        <f t="shared" si="6"/>
        <v>0</v>
      </c>
      <c r="AF126" s="139" t="str">
        <f>IF('Sch2a-Imp Price by ECM'!C127="Yes", 0, 'Sch2a-Imp Price by ECM'!L127)</f>
        <v/>
      </c>
      <c r="AG126" s="159" t="str">
        <f t="shared" si="7"/>
        <v/>
      </c>
      <c r="AH126" s="4" t="str">
        <f>IF('Sch2a-Imp Price by ECM'!M127="","",'Sch2a-Imp Price by ECM'!M127)</f>
        <v/>
      </c>
    </row>
    <row r="127" spans="1:34" ht="17" thickBot="1">
      <c r="A127" s="75" t="str">
        <f>IF('Sch2a-Imp Price by ECM'!B128="","",'Sch2a-Imp Price by ECM'!B128)</f>
        <v/>
      </c>
      <c r="B127" s="174" t="str">
        <f>IF('Sch2a-Imp Price by ECM'!D128="","",'Sch2a-Imp Price by ECM'!D128)</f>
        <v/>
      </c>
      <c r="C127" s="400" t="str">
        <f>IF('Sch2a-Imp Price by ECM'!G128="","",'Sch2a-Imp Price by ECM'!G128)</f>
        <v/>
      </c>
      <c r="D127" s="274"/>
      <c r="E127" s="391"/>
      <c r="F127" s="391"/>
      <c r="G127" s="391"/>
      <c r="H127" s="391"/>
      <c r="I127" s="276"/>
      <c r="J127" s="391"/>
      <c r="K127" s="275"/>
      <c r="L127" s="275"/>
      <c r="M127" s="275"/>
      <c r="N127" s="269"/>
      <c r="O127" s="391"/>
      <c r="P127" s="275"/>
      <c r="Q127" s="392"/>
      <c r="R127" s="275"/>
      <c r="S127" s="392"/>
      <c r="T127" s="393"/>
      <c r="U127" s="392"/>
      <c r="V127" s="393"/>
      <c r="W127" s="394"/>
      <c r="X127" s="393"/>
      <c r="Y127" s="390">
        <f t="shared" si="8"/>
        <v>0</v>
      </c>
      <c r="Z127" s="16">
        <f t="shared" si="5"/>
        <v>0</v>
      </c>
      <c r="AA127" s="392"/>
      <c r="AB127" s="393"/>
      <c r="AC127" s="393"/>
      <c r="AD127" s="393"/>
      <c r="AE127" s="139">
        <f t="shared" si="6"/>
        <v>0</v>
      </c>
      <c r="AF127" s="139" t="str">
        <f>IF('Sch2a-Imp Price by ECM'!C128="Yes", 0, 'Sch2a-Imp Price by ECM'!L128)</f>
        <v/>
      </c>
      <c r="AG127" s="159" t="str">
        <f t="shared" si="7"/>
        <v/>
      </c>
      <c r="AH127" s="4" t="str">
        <f>IF('Sch2a-Imp Price by ECM'!M128="","",'Sch2a-Imp Price by ECM'!M128)</f>
        <v/>
      </c>
    </row>
    <row r="128" spans="1:34" ht="17" thickBot="1">
      <c r="A128" s="75" t="str">
        <f>IF('Sch2a-Imp Price by ECM'!B129="","",'Sch2a-Imp Price by ECM'!B129)</f>
        <v/>
      </c>
      <c r="B128" s="174" t="str">
        <f>IF('Sch2a-Imp Price by ECM'!D129="","",'Sch2a-Imp Price by ECM'!D129)</f>
        <v/>
      </c>
      <c r="C128" s="400" t="str">
        <f>IF('Sch2a-Imp Price by ECM'!G129="","",'Sch2a-Imp Price by ECM'!G129)</f>
        <v/>
      </c>
      <c r="D128" s="274"/>
      <c r="E128" s="391"/>
      <c r="F128" s="391"/>
      <c r="G128" s="391"/>
      <c r="H128" s="391"/>
      <c r="I128" s="276"/>
      <c r="J128" s="391"/>
      <c r="K128" s="275"/>
      <c r="L128" s="275"/>
      <c r="M128" s="275"/>
      <c r="N128" s="269"/>
      <c r="O128" s="391"/>
      <c r="P128" s="275"/>
      <c r="Q128" s="392"/>
      <c r="R128" s="275"/>
      <c r="S128" s="392"/>
      <c r="T128" s="393"/>
      <c r="U128" s="392"/>
      <c r="V128" s="393"/>
      <c r="W128" s="394"/>
      <c r="X128" s="393"/>
      <c r="Y128" s="390">
        <f t="shared" si="8"/>
        <v>0</v>
      </c>
      <c r="Z128" s="16">
        <f t="shared" si="5"/>
        <v>0</v>
      </c>
      <c r="AA128" s="392"/>
      <c r="AB128" s="393"/>
      <c r="AC128" s="393"/>
      <c r="AD128" s="393"/>
      <c r="AE128" s="139">
        <f t="shared" si="6"/>
        <v>0</v>
      </c>
      <c r="AF128" s="139" t="str">
        <f>IF('Sch2a-Imp Price by ECM'!C129="Yes", 0, 'Sch2a-Imp Price by ECM'!L129)</f>
        <v/>
      </c>
      <c r="AG128" s="159" t="str">
        <f t="shared" si="7"/>
        <v/>
      </c>
      <c r="AH128" s="4" t="str">
        <f>IF('Sch2a-Imp Price by ECM'!M129="","",'Sch2a-Imp Price by ECM'!M129)</f>
        <v/>
      </c>
    </row>
    <row r="129" spans="1:34" ht="17" thickBot="1">
      <c r="A129" s="75" t="str">
        <f>IF('Sch2a-Imp Price by ECM'!B130="","",'Sch2a-Imp Price by ECM'!B130)</f>
        <v/>
      </c>
      <c r="B129" s="174" t="str">
        <f>IF('Sch2a-Imp Price by ECM'!D130="","",'Sch2a-Imp Price by ECM'!D130)</f>
        <v/>
      </c>
      <c r="C129" s="400" t="str">
        <f>IF('Sch2a-Imp Price by ECM'!G130="","",'Sch2a-Imp Price by ECM'!G130)</f>
        <v/>
      </c>
      <c r="D129" s="274"/>
      <c r="E129" s="391"/>
      <c r="F129" s="391"/>
      <c r="G129" s="391"/>
      <c r="H129" s="391"/>
      <c r="I129" s="276"/>
      <c r="J129" s="391"/>
      <c r="K129" s="275"/>
      <c r="L129" s="275"/>
      <c r="M129" s="275"/>
      <c r="N129" s="269"/>
      <c r="O129" s="391"/>
      <c r="P129" s="275"/>
      <c r="Q129" s="392"/>
      <c r="R129" s="275"/>
      <c r="S129" s="392"/>
      <c r="T129" s="393"/>
      <c r="U129" s="392"/>
      <c r="V129" s="393"/>
      <c r="W129" s="394"/>
      <c r="X129" s="393"/>
      <c r="Y129" s="390">
        <f t="shared" si="8"/>
        <v>0</v>
      </c>
      <c r="Z129" s="16">
        <f t="shared" si="5"/>
        <v>0</v>
      </c>
      <c r="AA129" s="392"/>
      <c r="AB129" s="393"/>
      <c r="AC129" s="393"/>
      <c r="AD129" s="393"/>
      <c r="AE129" s="139">
        <f t="shared" si="6"/>
        <v>0</v>
      </c>
      <c r="AF129" s="139" t="str">
        <f>IF('Sch2a-Imp Price by ECM'!C130="Yes", 0, 'Sch2a-Imp Price by ECM'!L130)</f>
        <v/>
      </c>
      <c r="AG129" s="159" t="str">
        <f t="shared" si="7"/>
        <v/>
      </c>
      <c r="AH129" s="4" t="str">
        <f>IF('Sch2a-Imp Price by ECM'!M130="","",'Sch2a-Imp Price by ECM'!M130)</f>
        <v/>
      </c>
    </row>
    <row r="130" spans="1:34" ht="17" thickBot="1">
      <c r="A130" s="75" t="str">
        <f>IF('Sch2a-Imp Price by ECM'!B131="","",'Sch2a-Imp Price by ECM'!B131)</f>
        <v/>
      </c>
      <c r="B130" s="174" t="str">
        <f>IF('Sch2a-Imp Price by ECM'!D131="","",'Sch2a-Imp Price by ECM'!D131)</f>
        <v/>
      </c>
      <c r="C130" s="400" t="str">
        <f>IF('Sch2a-Imp Price by ECM'!G131="","",'Sch2a-Imp Price by ECM'!G131)</f>
        <v/>
      </c>
      <c r="D130" s="274"/>
      <c r="E130" s="391"/>
      <c r="F130" s="391"/>
      <c r="G130" s="391"/>
      <c r="H130" s="391"/>
      <c r="I130" s="276"/>
      <c r="J130" s="391"/>
      <c r="K130" s="275"/>
      <c r="L130" s="275"/>
      <c r="M130" s="275"/>
      <c r="N130" s="269"/>
      <c r="O130" s="391"/>
      <c r="P130" s="275"/>
      <c r="Q130" s="392"/>
      <c r="R130" s="275"/>
      <c r="S130" s="392"/>
      <c r="T130" s="393"/>
      <c r="U130" s="392"/>
      <c r="V130" s="393"/>
      <c r="W130" s="394"/>
      <c r="X130" s="393"/>
      <c r="Y130" s="390">
        <f t="shared" si="8"/>
        <v>0</v>
      </c>
      <c r="Z130" s="16">
        <f t="shared" si="5"/>
        <v>0</v>
      </c>
      <c r="AA130" s="392"/>
      <c r="AB130" s="393"/>
      <c r="AC130" s="393"/>
      <c r="AD130" s="393"/>
      <c r="AE130" s="139">
        <f t="shared" si="6"/>
        <v>0</v>
      </c>
      <c r="AF130" s="139" t="str">
        <f>IF('Sch2a-Imp Price by ECM'!C131="Yes", 0, 'Sch2a-Imp Price by ECM'!L131)</f>
        <v/>
      </c>
      <c r="AG130" s="159" t="str">
        <f t="shared" si="7"/>
        <v/>
      </c>
      <c r="AH130" s="4" t="str">
        <f>IF('Sch2a-Imp Price by ECM'!M131="","",'Sch2a-Imp Price by ECM'!M131)</f>
        <v/>
      </c>
    </row>
    <row r="131" spans="1:34" ht="17" thickBot="1">
      <c r="A131" s="75" t="str">
        <f>IF('Sch2a-Imp Price by ECM'!B132="","",'Sch2a-Imp Price by ECM'!B132)</f>
        <v/>
      </c>
      <c r="B131" s="174" t="str">
        <f>IF('Sch2a-Imp Price by ECM'!D132="","",'Sch2a-Imp Price by ECM'!D132)</f>
        <v/>
      </c>
      <c r="C131" s="400" t="str">
        <f>IF('Sch2a-Imp Price by ECM'!G132="","",'Sch2a-Imp Price by ECM'!G132)</f>
        <v/>
      </c>
      <c r="D131" s="274"/>
      <c r="E131" s="391"/>
      <c r="F131" s="391"/>
      <c r="G131" s="391"/>
      <c r="H131" s="391"/>
      <c r="I131" s="276"/>
      <c r="J131" s="391"/>
      <c r="K131" s="275"/>
      <c r="L131" s="275"/>
      <c r="M131" s="275"/>
      <c r="N131" s="269"/>
      <c r="O131" s="391"/>
      <c r="P131" s="275"/>
      <c r="Q131" s="392"/>
      <c r="R131" s="275"/>
      <c r="S131" s="392"/>
      <c r="T131" s="393"/>
      <c r="U131" s="392"/>
      <c r="V131" s="393"/>
      <c r="W131" s="394"/>
      <c r="X131" s="393"/>
      <c r="Y131" s="390">
        <f t="shared" si="8"/>
        <v>0</v>
      </c>
      <c r="Z131" s="16">
        <f t="shared" si="5"/>
        <v>0</v>
      </c>
      <c r="AA131" s="392"/>
      <c r="AB131" s="393"/>
      <c r="AC131" s="393"/>
      <c r="AD131" s="393"/>
      <c r="AE131" s="139">
        <f t="shared" si="6"/>
        <v>0</v>
      </c>
      <c r="AF131" s="139" t="str">
        <f>IF('Sch2a-Imp Price by ECM'!C132="Yes", 0, 'Sch2a-Imp Price by ECM'!L132)</f>
        <v/>
      </c>
      <c r="AG131" s="159" t="str">
        <f t="shared" si="7"/>
        <v/>
      </c>
      <c r="AH131" s="4" t="str">
        <f>IF('Sch2a-Imp Price by ECM'!M132="","",'Sch2a-Imp Price by ECM'!M132)</f>
        <v/>
      </c>
    </row>
    <row r="132" spans="1:34" ht="17" thickBot="1">
      <c r="A132" s="75" t="str">
        <f>IF('Sch2a-Imp Price by ECM'!B133="","",'Sch2a-Imp Price by ECM'!B133)</f>
        <v/>
      </c>
      <c r="B132" s="174" t="str">
        <f>IF('Sch2a-Imp Price by ECM'!D133="","",'Sch2a-Imp Price by ECM'!D133)</f>
        <v/>
      </c>
      <c r="C132" s="400" t="str">
        <f>IF('Sch2a-Imp Price by ECM'!G133="","",'Sch2a-Imp Price by ECM'!G133)</f>
        <v/>
      </c>
      <c r="D132" s="274"/>
      <c r="E132" s="391"/>
      <c r="F132" s="391"/>
      <c r="G132" s="391"/>
      <c r="H132" s="391"/>
      <c r="I132" s="276"/>
      <c r="J132" s="391"/>
      <c r="K132" s="275"/>
      <c r="L132" s="275"/>
      <c r="M132" s="275"/>
      <c r="N132" s="269"/>
      <c r="O132" s="391"/>
      <c r="P132" s="275"/>
      <c r="Q132" s="392"/>
      <c r="R132" s="275"/>
      <c r="S132" s="392"/>
      <c r="T132" s="393"/>
      <c r="U132" s="392"/>
      <c r="V132" s="393"/>
      <c r="W132" s="394"/>
      <c r="X132" s="393"/>
      <c r="Y132" s="390">
        <f t="shared" si="8"/>
        <v>0</v>
      </c>
      <c r="Z132" s="16">
        <f t="shared" si="5"/>
        <v>0</v>
      </c>
      <c r="AA132" s="392"/>
      <c r="AB132" s="393"/>
      <c r="AC132" s="393"/>
      <c r="AD132" s="393"/>
      <c r="AE132" s="139">
        <f t="shared" si="6"/>
        <v>0</v>
      </c>
      <c r="AF132" s="139" t="str">
        <f>IF('Sch2a-Imp Price by ECM'!C133="Yes", 0, 'Sch2a-Imp Price by ECM'!L133)</f>
        <v/>
      </c>
      <c r="AG132" s="159" t="str">
        <f t="shared" si="7"/>
        <v/>
      </c>
      <c r="AH132" s="4" t="str">
        <f>IF('Sch2a-Imp Price by ECM'!M133="","",'Sch2a-Imp Price by ECM'!M133)</f>
        <v/>
      </c>
    </row>
    <row r="133" spans="1:34" ht="17" thickBot="1">
      <c r="A133" s="75" t="str">
        <f>IF('Sch2a-Imp Price by ECM'!B134="","",'Sch2a-Imp Price by ECM'!B134)</f>
        <v/>
      </c>
      <c r="B133" s="174" t="str">
        <f>IF('Sch2a-Imp Price by ECM'!D134="","",'Sch2a-Imp Price by ECM'!D134)</f>
        <v/>
      </c>
      <c r="C133" s="400" t="str">
        <f>IF('Sch2a-Imp Price by ECM'!G134="","",'Sch2a-Imp Price by ECM'!G134)</f>
        <v/>
      </c>
      <c r="D133" s="274"/>
      <c r="E133" s="391"/>
      <c r="F133" s="391"/>
      <c r="G133" s="391"/>
      <c r="H133" s="391"/>
      <c r="I133" s="276"/>
      <c r="J133" s="391"/>
      <c r="K133" s="275"/>
      <c r="L133" s="275"/>
      <c r="M133" s="275"/>
      <c r="N133" s="269"/>
      <c r="O133" s="391"/>
      <c r="P133" s="275"/>
      <c r="Q133" s="392"/>
      <c r="R133" s="275"/>
      <c r="S133" s="392"/>
      <c r="T133" s="393"/>
      <c r="U133" s="392"/>
      <c r="V133" s="393"/>
      <c r="W133" s="394"/>
      <c r="X133" s="393"/>
      <c r="Y133" s="390">
        <f t="shared" si="8"/>
        <v>0</v>
      </c>
      <c r="Z133" s="16">
        <f t="shared" si="5"/>
        <v>0</v>
      </c>
      <c r="AA133" s="392"/>
      <c r="AB133" s="393"/>
      <c r="AC133" s="393"/>
      <c r="AD133" s="393"/>
      <c r="AE133" s="139">
        <f t="shared" si="6"/>
        <v>0</v>
      </c>
      <c r="AF133" s="139" t="str">
        <f>IF('Sch2a-Imp Price by ECM'!C134="Yes", 0, 'Sch2a-Imp Price by ECM'!L134)</f>
        <v/>
      </c>
      <c r="AG133" s="159" t="str">
        <f t="shared" si="7"/>
        <v/>
      </c>
      <c r="AH133" s="4" t="str">
        <f>IF('Sch2a-Imp Price by ECM'!M134="","",'Sch2a-Imp Price by ECM'!M134)</f>
        <v/>
      </c>
    </row>
    <row r="134" spans="1:34" ht="17" thickBot="1">
      <c r="A134" s="75" t="str">
        <f>IF('Sch2a-Imp Price by ECM'!B135="","",'Sch2a-Imp Price by ECM'!B135)</f>
        <v/>
      </c>
      <c r="B134" s="174" t="str">
        <f>IF('Sch2a-Imp Price by ECM'!D135="","",'Sch2a-Imp Price by ECM'!D135)</f>
        <v/>
      </c>
      <c r="C134" s="400" t="str">
        <f>IF('Sch2a-Imp Price by ECM'!G135="","",'Sch2a-Imp Price by ECM'!G135)</f>
        <v/>
      </c>
      <c r="D134" s="274"/>
      <c r="E134" s="391"/>
      <c r="F134" s="391"/>
      <c r="G134" s="391"/>
      <c r="H134" s="391"/>
      <c r="I134" s="276"/>
      <c r="J134" s="391"/>
      <c r="K134" s="275"/>
      <c r="L134" s="275"/>
      <c r="M134" s="275"/>
      <c r="N134" s="269"/>
      <c r="O134" s="391"/>
      <c r="P134" s="275"/>
      <c r="Q134" s="392"/>
      <c r="R134" s="275"/>
      <c r="S134" s="392"/>
      <c r="T134" s="393"/>
      <c r="U134" s="392"/>
      <c r="V134" s="393"/>
      <c r="W134" s="394"/>
      <c r="X134" s="393"/>
      <c r="Y134" s="390">
        <f t="shared" si="8"/>
        <v>0</v>
      </c>
      <c r="Z134" s="16">
        <f t="shared" si="5"/>
        <v>0</v>
      </c>
      <c r="AA134" s="392"/>
      <c r="AB134" s="393"/>
      <c r="AC134" s="393"/>
      <c r="AD134" s="393"/>
      <c r="AE134" s="139">
        <f t="shared" si="6"/>
        <v>0</v>
      </c>
      <c r="AF134" s="139" t="str">
        <f>IF('Sch2a-Imp Price by ECM'!C135="Yes", 0, 'Sch2a-Imp Price by ECM'!L135)</f>
        <v/>
      </c>
      <c r="AG134" s="159" t="str">
        <f t="shared" si="7"/>
        <v/>
      </c>
      <c r="AH134" s="4" t="str">
        <f>IF('Sch2a-Imp Price by ECM'!M135="","",'Sch2a-Imp Price by ECM'!M135)</f>
        <v/>
      </c>
    </row>
    <row r="135" spans="1:34" ht="17" thickBot="1">
      <c r="A135" s="75" t="str">
        <f>IF('Sch2a-Imp Price by ECM'!B136="","",'Sch2a-Imp Price by ECM'!B136)</f>
        <v/>
      </c>
      <c r="B135" s="174" t="str">
        <f>IF('Sch2a-Imp Price by ECM'!D136="","",'Sch2a-Imp Price by ECM'!D136)</f>
        <v/>
      </c>
      <c r="C135" s="400" t="str">
        <f>IF('Sch2a-Imp Price by ECM'!G136="","",'Sch2a-Imp Price by ECM'!G136)</f>
        <v/>
      </c>
      <c r="D135" s="274"/>
      <c r="E135" s="391"/>
      <c r="F135" s="391"/>
      <c r="G135" s="391"/>
      <c r="H135" s="391"/>
      <c r="I135" s="276"/>
      <c r="J135" s="391"/>
      <c r="K135" s="275"/>
      <c r="L135" s="275"/>
      <c r="M135" s="275"/>
      <c r="N135" s="276"/>
      <c r="O135" s="391"/>
      <c r="P135" s="275"/>
      <c r="Q135" s="392"/>
      <c r="R135" s="275"/>
      <c r="S135" s="392"/>
      <c r="T135" s="393"/>
      <c r="U135" s="392"/>
      <c r="V135" s="393"/>
      <c r="W135" s="394"/>
      <c r="X135" s="393"/>
      <c r="Y135" s="390">
        <f t="shared" si="8"/>
        <v>0</v>
      </c>
      <c r="Z135" s="16">
        <f t="shared" si="5"/>
        <v>0</v>
      </c>
      <c r="AA135" s="392"/>
      <c r="AB135" s="393"/>
      <c r="AC135" s="393"/>
      <c r="AD135" s="393"/>
      <c r="AE135" s="139">
        <f t="shared" si="6"/>
        <v>0</v>
      </c>
      <c r="AF135" s="139" t="str">
        <f>IF('Sch2a-Imp Price by ECM'!C136="Yes", 0, 'Sch2a-Imp Price by ECM'!L136)</f>
        <v/>
      </c>
      <c r="AG135" s="159" t="str">
        <f t="shared" si="7"/>
        <v/>
      </c>
      <c r="AH135" s="4" t="str">
        <f>IF('Sch2a-Imp Price by ECM'!M136="","",'Sch2a-Imp Price by ECM'!M136)</f>
        <v/>
      </c>
    </row>
    <row r="136" spans="1:34" ht="17" thickBot="1">
      <c r="A136" s="75" t="str">
        <f>IF('Sch2a-Imp Price by ECM'!B137="","",'Sch2a-Imp Price by ECM'!B137)</f>
        <v/>
      </c>
      <c r="B136" s="174" t="str">
        <f>IF('Sch2a-Imp Price by ECM'!D137="","",'Sch2a-Imp Price by ECM'!D137)</f>
        <v/>
      </c>
      <c r="C136" s="400" t="str">
        <f>IF('Sch2a-Imp Price by ECM'!G137="","",'Sch2a-Imp Price by ECM'!G137)</f>
        <v/>
      </c>
      <c r="D136" s="274"/>
      <c r="E136" s="391"/>
      <c r="F136" s="391"/>
      <c r="G136" s="391"/>
      <c r="H136" s="391"/>
      <c r="I136" s="276"/>
      <c r="J136" s="391"/>
      <c r="K136" s="275"/>
      <c r="L136" s="275"/>
      <c r="M136" s="275"/>
      <c r="N136" s="276"/>
      <c r="O136" s="391"/>
      <c r="P136" s="275"/>
      <c r="Q136" s="392"/>
      <c r="R136" s="275"/>
      <c r="S136" s="392"/>
      <c r="T136" s="393"/>
      <c r="U136" s="392"/>
      <c r="V136" s="393"/>
      <c r="W136" s="394"/>
      <c r="X136" s="393"/>
      <c r="Y136" s="390">
        <f t="shared" si="8"/>
        <v>0</v>
      </c>
      <c r="Z136" s="16">
        <f t="shared" si="5"/>
        <v>0</v>
      </c>
      <c r="AA136" s="392"/>
      <c r="AB136" s="393"/>
      <c r="AC136" s="393"/>
      <c r="AD136" s="393"/>
      <c r="AE136" s="139">
        <f t="shared" si="6"/>
        <v>0</v>
      </c>
      <c r="AF136" s="139" t="str">
        <f>IF('Sch2a-Imp Price by ECM'!C137="Yes", 0, 'Sch2a-Imp Price by ECM'!L137)</f>
        <v/>
      </c>
      <c r="AG136" s="159" t="str">
        <f t="shared" si="7"/>
        <v/>
      </c>
      <c r="AH136" s="4" t="str">
        <f>IF('Sch2a-Imp Price by ECM'!M137="","",'Sch2a-Imp Price by ECM'!M137)</f>
        <v/>
      </c>
    </row>
    <row r="137" spans="1:34" ht="17" thickBot="1">
      <c r="A137" s="75" t="str">
        <f>IF('Sch2a-Imp Price by ECM'!B138="","",'Sch2a-Imp Price by ECM'!B138)</f>
        <v/>
      </c>
      <c r="B137" s="174" t="str">
        <f>IF('Sch2a-Imp Price by ECM'!D138="","",'Sch2a-Imp Price by ECM'!D138)</f>
        <v/>
      </c>
      <c r="C137" s="400" t="str">
        <f>IF('Sch2a-Imp Price by ECM'!G138="","",'Sch2a-Imp Price by ECM'!G138)</f>
        <v/>
      </c>
      <c r="D137" s="274"/>
      <c r="E137" s="391"/>
      <c r="F137" s="391"/>
      <c r="G137" s="391"/>
      <c r="H137" s="391"/>
      <c r="I137" s="276"/>
      <c r="J137" s="391"/>
      <c r="K137" s="275"/>
      <c r="L137" s="275"/>
      <c r="M137" s="275"/>
      <c r="N137" s="276"/>
      <c r="O137" s="391"/>
      <c r="P137" s="275"/>
      <c r="Q137" s="392"/>
      <c r="R137" s="275"/>
      <c r="S137" s="392"/>
      <c r="T137" s="393"/>
      <c r="U137" s="392"/>
      <c r="V137" s="393"/>
      <c r="W137" s="394"/>
      <c r="X137" s="393"/>
      <c r="Y137" s="390">
        <f t="shared" si="8"/>
        <v>0</v>
      </c>
      <c r="Z137" s="16">
        <f t="shared" ref="Z137:Z200" si="9">P137+R137+V137+X137+T137</f>
        <v>0</v>
      </c>
      <c r="AA137" s="392"/>
      <c r="AB137" s="393"/>
      <c r="AC137" s="393"/>
      <c r="AD137" s="393"/>
      <c r="AE137" s="139">
        <f t="shared" ref="AE137:AE200" si="10">Z137+AB137+AC137+AD137</f>
        <v>0</v>
      </c>
      <c r="AF137" s="139" t="str">
        <f>IF('Sch2a-Imp Price by ECM'!C138="Yes", 0, 'Sch2a-Imp Price by ECM'!L138)</f>
        <v/>
      </c>
      <c r="AG137" s="159" t="str">
        <f t="shared" ref="AG137:AG200" si="11">IF(AF137="","",AF137/AE137)</f>
        <v/>
      </c>
      <c r="AH137" s="4" t="str">
        <f>IF('Sch2a-Imp Price by ECM'!M138="","",'Sch2a-Imp Price by ECM'!M138)</f>
        <v/>
      </c>
    </row>
    <row r="138" spans="1:34" ht="17" thickBot="1">
      <c r="A138" s="75" t="str">
        <f>IF('Sch2a-Imp Price by ECM'!B139="","",'Sch2a-Imp Price by ECM'!B139)</f>
        <v/>
      </c>
      <c r="B138" s="174" t="str">
        <f>IF('Sch2a-Imp Price by ECM'!D139="","",'Sch2a-Imp Price by ECM'!D139)</f>
        <v/>
      </c>
      <c r="C138" s="400" t="str">
        <f>IF('Sch2a-Imp Price by ECM'!G139="","",'Sch2a-Imp Price by ECM'!G139)</f>
        <v/>
      </c>
      <c r="D138" s="274"/>
      <c r="E138" s="391"/>
      <c r="F138" s="391"/>
      <c r="G138" s="391"/>
      <c r="H138" s="391"/>
      <c r="I138" s="276"/>
      <c r="J138" s="391"/>
      <c r="K138" s="275"/>
      <c r="L138" s="275"/>
      <c r="M138" s="275"/>
      <c r="N138" s="276"/>
      <c r="O138" s="391"/>
      <c r="P138" s="275"/>
      <c r="Q138" s="392"/>
      <c r="R138" s="275"/>
      <c r="S138" s="392"/>
      <c r="T138" s="393"/>
      <c r="U138" s="392"/>
      <c r="V138" s="393"/>
      <c r="W138" s="394"/>
      <c r="X138" s="393"/>
      <c r="Y138" s="390">
        <f t="shared" si="8"/>
        <v>0</v>
      </c>
      <c r="Z138" s="16">
        <f t="shared" si="9"/>
        <v>0</v>
      </c>
      <c r="AA138" s="392"/>
      <c r="AB138" s="393"/>
      <c r="AC138" s="393"/>
      <c r="AD138" s="393"/>
      <c r="AE138" s="139">
        <f t="shared" si="10"/>
        <v>0</v>
      </c>
      <c r="AF138" s="139" t="str">
        <f>IF('Sch2a-Imp Price by ECM'!C139="Yes", 0, 'Sch2a-Imp Price by ECM'!L139)</f>
        <v/>
      </c>
      <c r="AG138" s="159" t="str">
        <f t="shared" si="11"/>
        <v/>
      </c>
      <c r="AH138" s="4" t="str">
        <f>IF('Sch2a-Imp Price by ECM'!M139="","",'Sch2a-Imp Price by ECM'!M139)</f>
        <v/>
      </c>
    </row>
    <row r="139" spans="1:34" ht="18" customHeight="1" thickBot="1">
      <c r="A139" s="75" t="str">
        <f>IF('Sch2a-Imp Price by ECM'!B140="","",'Sch2a-Imp Price by ECM'!B140)</f>
        <v/>
      </c>
      <c r="B139" s="174" t="str">
        <f>IF('Sch2a-Imp Price by ECM'!D140="","",'Sch2a-Imp Price by ECM'!D140)</f>
        <v/>
      </c>
      <c r="C139" s="400" t="str">
        <f>IF('Sch2a-Imp Price by ECM'!G140="","",'Sch2a-Imp Price by ECM'!G140)</f>
        <v/>
      </c>
      <c r="D139" s="274"/>
      <c r="E139" s="391"/>
      <c r="F139" s="391"/>
      <c r="G139" s="391"/>
      <c r="H139" s="391"/>
      <c r="I139" s="276"/>
      <c r="J139" s="391"/>
      <c r="K139" s="275"/>
      <c r="L139" s="275"/>
      <c r="M139" s="275"/>
      <c r="N139" s="276"/>
      <c r="O139" s="391"/>
      <c r="P139" s="275"/>
      <c r="Q139" s="392"/>
      <c r="R139" s="275"/>
      <c r="S139" s="392"/>
      <c r="T139" s="393"/>
      <c r="U139" s="392"/>
      <c r="V139" s="393"/>
      <c r="W139" s="394"/>
      <c r="X139" s="393"/>
      <c r="Y139" s="390">
        <f t="shared" ref="Y139:Y202" si="12">(O139*3412/10^6)+S139+U139+W139</f>
        <v>0</v>
      </c>
      <c r="Z139" s="16">
        <f t="shared" si="9"/>
        <v>0</v>
      </c>
      <c r="AA139" s="392"/>
      <c r="AB139" s="393"/>
      <c r="AC139" s="393"/>
      <c r="AD139" s="393"/>
      <c r="AE139" s="139">
        <f t="shared" si="10"/>
        <v>0</v>
      </c>
      <c r="AF139" s="139" t="str">
        <f>IF('Sch2a-Imp Price by ECM'!C140="Yes", 0, 'Sch2a-Imp Price by ECM'!L140)</f>
        <v/>
      </c>
      <c r="AG139" s="159" t="str">
        <f t="shared" si="11"/>
        <v/>
      </c>
      <c r="AH139" s="4" t="str">
        <f>IF('Sch2a-Imp Price by ECM'!M140="","",'Sch2a-Imp Price by ECM'!M140)</f>
        <v/>
      </c>
    </row>
    <row r="140" spans="1:34" ht="17" thickBot="1">
      <c r="A140" s="75" t="str">
        <f>IF('Sch2a-Imp Price by ECM'!B141="","",'Sch2a-Imp Price by ECM'!B141)</f>
        <v/>
      </c>
      <c r="B140" s="174" t="str">
        <f>IF('Sch2a-Imp Price by ECM'!D141="","",'Sch2a-Imp Price by ECM'!D141)</f>
        <v/>
      </c>
      <c r="C140" s="400" t="str">
        <f>IF('Sch2a-Imp Price by ECM'!G141="","",'Sch2a-Imp Price by ECM'!G141)</f>
        <v/>
      </c>
      <c r="D140" s="274"/>
      <c r="E140" s="391"/>
      <c r="F140" s="391"/>
      <c r="G140" s="391"/>
      <c r="H140" s="391"/>
      <c r="I140" s="276"/>
      <c r="J140" s="391"/>
      <c r="K140" s="275"/>
      <c r="L140" s="275"/>
      <c r="M140" s="275"/>
      <c r="N140" s="276"/>
      <c r="O140" s="391"/>
      <c r="P140" s="275"/>
      <c r="Q140" s="392"/>
      <c r="R140" s="275"/>
      <c r="S140" s="392"/>
      <c r="T140" s="393"/>
      <c r="U140" s="392"/>
      <c r="V140" s="393"/>
      <c r="W140" s="394"/>
      <c r="X140" s="393"/>
      <c r="Y140" s="390">
        <f t="shared" si="12"/>
        <v>0</v>
      </c>
      <c r="Z140" s="16">
        <f t="shared" si="9"/>
        <v>0</v>
      </c>
      <c r="AA140" s="392"/>
      <c r="AB140" s="393"/>
      <c r="AC140" s="393"/>
      <c r="AD140" s="393"/>
      <c r="AE140" s="139">
        <f t="shared" si="10"/>
        <v>0</v>
      </c>
      <c r="AF140" s="139" t="str">
        <f>IF('Sch2a-Imp Price by ECM'!C141="Yes", 0, 'Sch2a-Imp Price by ECM'!L141)</f>
        <v/>
      </c>
      <c r="AG140" s="159" t="str">
        <f t="shared" si="11"/>
        <v/>
      </c>
      <c r="AH140" s="4" t="str">
        <f>IF('Sch2a-Imp Price by ECM'!M141="","",'Sch2a-Imp Price by ECM'!M141)</f>
        <v/>
      </c>
    </row>
    <row r="141" spans="1:34" ht="17" thickBot="1">
      <c r="A141" s="75" t="str">
        <f>IF('Sch2a-Imp Price by ECM'!B142="","",'Sch2a-Imp Price by ECM'!B142)</f>
        <v/>
      </c>
      <c r="B141" s="174" t="str">
        <f>IF('Sch2a-Imp Price by ECM'!D142="","",'Sch2a-Imp Price by ECM'!D142)</f>
        <v/>
      </c>
      <c r="C141" s="400" t="str">
        <f>IF('Sch2a-Imp Price by ECM'!G142="","",'Sch2a-Imp Price by ECM'!G142)</f>
        <v/>
      </c>
      <c r="D141" s="274"/>
      <c r="E141" s="391"/>
      <c r="F141" s="391"/>
      <c r="G141" s="391"/>
      <c r="H141" s="391"/>
      <c r="I141" s="276"/>
      <c r="J141" s="391"/>
      <c r="K141" s="275"/>
      <c r="L141" s="275"/>
      <c r="M141" s="275"/>
      <c r="N141" s="276"/>
      <c r="O141" s="391"/>
      <c r="P141" s="275"/>
      <c r="Q141" s="392"/>
      <c r="R141" s="275"/>
      <c r="S141" s="392"/>
      <c r="T141" s="393"/>
      <c r="U141" s="392"/>
      <c r="V141" s="393"/>
      <c r="W141" s="394"/>
      <c r="X141" s="393"/>
      <c r="Y141" s="390">
        <f t="shared" si="12"/>
        <v>0</v>
      </c>
      <c r="Z141" s="16">
        <f t="shared" si="9"/>
        <v>0</v>
      </c>
      <c r="AA141" s="392"/>
      <c r="AB141" s="393"/>
      <c r="AC141" s="393"/>
      <c r="AD141" s="393"/>
      <c r="AE141" s="139">
        <f t="shared" si="10"/>
        <v>0</v>
      </c>
      <c r="AF141" s="139" t="str">
        <f>IF('Sch2a-Imp Price by ECM'!C142="Yes", 0, 'Sch2a-Imp Price by ECM'!L142)</f>
        <v/>
      </c>
      <c r="AG141" s="159" t="str">
        <f t="shared" si="11"/>
        <v/>
      </c>
      <c r="AH141" s="4" t="str">
        <f>IF('Sch2a-Imp Price by ECM'!M142="","",'Sch2a-Imp Price by ECM'!M142)</f>
        <v/>
      </c>
    </row>
    <row r="142" spans="1:34" ht="17" thickBot="1">
      <c r="A142" s="75" t="str">
        <f>IF('Sch2a-Imp Price by ECM'!B143="","",'Sch2a-Imp Price by ECM'!B143)</f>
        <v/>
      </c>
      <c r="B142" s="174" t="str">
        <f>IF('Sch2a-Imp Price by ECM'!D143="","",'Sch2a-Imp Price by ECM'!D143)</f>
        <v/>
      </c>
      <c r="C142" s="400" t="str">
        <f>IF('Sch2a-Imp Price by ECM'!G143="","",'Sch2a-Imp Price by ECM'!G143)</f>
        <v/>
      </c>
      <c r="D142" s="274"/>
      <c r="E142" s="391"/>
      <c r="F142" s="391"/>
      <c r="G142" s="391"/>
      <c r="H142" s="391"/>
      <c r="I142" s="276"/>
      <c r="J142" s="391"/>
      <c r="K142" s="275"/>
      <c r="L142" s="275"/>
      <c r="M142" s="275"/>
      <c r="N142" s="269"/>
      <c r="O142" s="391"/>
      <c r="P142" s="275"/>
      <c r="Q142" s="392"/>
      <c r="R142" s="275"/>
      <c r="S142" s="392"/>
      <c r="T142" s="393"/>
      <c r="U142" s="392"/>
      <c r="V142" s="393"/>
      <c r="W142" s="394"/>
      <c r="X142" s="393"/>
      <c r="Y142" s="390">
        <f t="shared" si="12"/>
        <v>0</v>
      </c>
      <c r="Z142" s="16">
        <f t="shared" si="9"/>
        <v>0</v>
      </c>
      <c r="AA142" s="392"/>
      <c r="AB142" s="393"/>
      <c r="AC142" s="393"/>
      <c r="AD142" s="393"/>
      <c r="AE142" s="139">
        <f t="shared" si="10"/>
        <v>0</v>
      </c>
      <c r="AF142" s="139" t="str">
        <f>IF('Sch2a-Imp Price by ECM'!C143="Yes", 0, 'Sch2a-Imp Price by ECM'!L143)</f>
        <v/>
      </c>
      <c r="AG142" s="159" t="str">
        <f t="shared" si="11"/>
        <v/>
      </c>
      <c r="AH142" s="4" t="str">
        <f>IF('Sch2a-Imp Price by ECM'!M143="","",'Sch2a-Imp Price by ECM'!M143)</f>
        <v/>
      </c>
    </row>
    <row r="143" spans="1:34" ht="17" thickBot="1">
      <c r="A143" s="75" t="str">
        <f>IF('Sch2a-Imp Price by ECM'!B144="","",'Sch2a-Imp Price by ECM'!B144)</f>
        <v/>
      </c>
      <c r="B143" s="174" t="str">
        <f>IF('Sch2a-Imp Price by ECM'!D144="","",'Sch2a-Imp Price by ECM'!D144)</f>
        <v/>
      </c>
      <c r="C143" s="400" t="str">
        <f>IF('Sch2a-Imp Price by ECM'!G144="","",'Sch2a-Imp Price by ECM'!G144)</f>
        <v/>
      </c>
      <c r="D143" s="274"/>
      <c r="E143" s="391"/>
      <c r="F143" s="391"/>
      <c r="G143" s="391"/>
      <c r="H143" s="391"/>
      <c r="I143" s="276"/>
      <c r="J143" s="391"/>
      <c r="K143" s="275"/>
      <c r="L143" s="275"/>
      <c r="M143" s="275"/>
      <c r="N143" s="269"/>
      <c r="O143" s="391"/>
      <c r="P143" s="275"/>
      <c r="Q143" s="392"/>
      <c r="R143" s="275"/>
      <c r="S143" s="392"/>
      <c r="T143" s="393"/>
      <c r="U143" s="392"/>
      <c r="V143" s="393"/>
      <c r="W143" s="394"/>
      <c r="X143" s="393"/>
      <c r="Y143" s="390">
        <f t="shared" si="12"/>
        <v>0</v>
      </c>
      <c r="Z143" s="16">
        <f t="shared" si="9"/>
        <v>0</v>
      </c>
      <c r="AA143" s="392"/>
      <c r="AB143" s="393"/>
      <c r="AC143" s="393"/>
      <c r="AD143" s="393"/>
      <c r="AE143" s="139">
        <f t="shared" si="10"/>
        <v>0</v>
      </c>
      <c r="AF143" s="139" t="str">
        <f>IF('Sch2a-Imp Price by ECM'!C144="Yes", 0, 'Sch2a-Imp Price by ECM'!L144)</f>
        <v/>
      </c>
      <c r="AG143" s="159" t="str">
        <f t="shared" si="11"/>
        <v/>
      </c>
      <c r="AH143" s="4" t="str">
        <f>IF('Sch2a-Imp Price by ECM'!M144="","",'Sch2a-Imp Price by ECM'!M144)</f>
        <v/>
      </c>
    </row>
    <row r="144" spans="1:34" ht="17" thickBot="1">
      <c r="A144" s="75" t="str">
        <f>IF('Sch2a-Imp Price by ECM'!B145="","",'Sch2a-Imp Price by ECM'!B145)</f>
        <v/>
      </c>
      <c r="B144" s="174" t="str">
        <f>IF('Sch2a-Imp Price by ECM'!D145="","",'Sch2a-Imp Price by ECM'!D145)</f>
        <v/>
      </c>
      <c r="C144" s="400" t="str">
        <f>IF('Sch2a-Imp Price by ECM'!G145="","",'Sch2a-Imp Price by ECM'!G145)</f>
        <v/>
      </c>
      <c r="D144" s="274"/>
      <c r="E144" s="391"/>
      <c r="F144" s="391"/>
      <c r="G144" s="391"/>
      <c r="H144" s="391"/>
      <c r="I144" s="276"/>
      <c r="J144" s="391"/>
      <c r="K144" s="275"/>
      <c r="L144" s="275"/>
      <c r="M144" s="275"/>
      <c r="N144" s="269"/>
      <c r="O144" s="391"/>
      <c r="P144" s="275"/>
      <c r="Q144" s="392"/>
      <c r="R144" s="275"/>
      <c r="S144" s="392"/>
      <c r="T144" s="393"/>
      <c r="U144" s="392"/>
      <c r="V144" s="393"/>
      <c r="W144" s="394"/>
      <c r="X144" s="393"/>
      <c r="Y144" s="390">
        <f t="shared" si="12"/>
        <v>0</v>
      </c>
      <c r="Z144" s="16">
        <f t="shared" si="9"/>
        <v>0</v>
      </c>
      <c r="AA144" s="392"/>
      <c r="AB144" s="393"/>
      <c r="AC144" s="393"/>
      <c r="AD144" s="393"/>
      <c r="AE144" s="139">
        <f t="shared" si="10"/>
        <v>0</v>
      </c>
      <c r="AF144" s="139" t="str">
        <f>IF('Sch2a-Imp Price by ECM'!C145="Yes", 0, 'Sch2a-Imp Price by ECM'!L145)</f>
        <v/>
      </c>
      <c r="AG144" s="159" t="str">
        <f t="shared" si="11"/>
        <v/>
      </c>
      <c r="AH144" s="4" t="str">
        <f>IF('Sch2a-Imp Price by ECM'!M145="","",'Sch2a-Imp Price by ECM'!M145)</f>
        <v/>
      </c>
    </row>
    <row r="145" spans="1:34" ht="17" thickBot="1">
      <c r="A145" s="75" t="str">
        <f>IF('Sch2a-Imp Price by ECM'!B146="","",'Sch2a-Imp Price by ECM'!B146)</f>
        <v/>
      </c>
      <c r="B145" s="174" t="str">
        <f>IF('Sch2a-Imp Price by ECM'!D146="","",'Sch2a-Imp Price by ECM'!D146)</f>
        <v/>
      </c>
      <c r="C145" s="400" t="str">
        <f>IF('Sch2a-Imp Price by ECM'!G146="","",'Sch2a-Imp Price by ECM'!G146)</f>
        <v/>
      </c>
      <c r="D145" s="274"/>
      <c r="E145" s="391"/>
      <c r="F145" s="391"/>
      <c r="G145" s="391"/>
      <c r="H145" s="391"/>
      <c r="I145" s="276"/>
      <c r="J145" s="391"/>
      <c r="K145" s="275"/>
      <c r="L145" s="275"/>
      <c r="M145" s="275"/>
      <c r="N145" s="269"/>
      <c r="O145" s="391"/>
      <c r="P145" s="275"/>
      <c r="Q145" s="392"/>
      <c r="R145" s="275"/>
      <c r="S145" s="392"/>
      <c r="T145" s="393"/>
      <c r="U145" s="392"/>
      <c r="V145" s="393"/>
      <c r="W145" s="394"/>
      <c r="X145" s="393"/>
      <c r="Y145" s="390">
        <f t="shared" si="12"/>
        <v>0</v>
      </c>
      <c r="Z145" s="16">
        <f t="shared" si="9"/>
        <v>0</v>
      </c>
      <c r="AA145" s="392"/>
      <c r="AB145" s="393"/>
      <c r="AC145" s="393"/>
      <c r="AD145" s="393"/>
      <c r="AE145" s="139">
        <f t="shared" si="10"/>
        <v>0</v>
      </c>
      <c r="AF145" s="139" t="str">
        <f>IF('Sch2a-Imp Price by ECM'!C146="Yes", 0, 'Sch2a-Imp Price by ECM'!L146)</f>
        <v/>
      </c>
      <c r="AG145" s="159" t="str">
        <f t="shared" si="11"/>
        <v/>
      </c>
      <c r="AH145" s="4" t="str">
        <f>IF('Sch2a-Imp Price by ECM'!M146="","",'Sch2a-Imp Price by ECM'!M146)</f>
        <v/>
      </c>
    </row>
    <row r="146" spans="1:34" ht="17" thickBot="1">
      <c r="A146" s="75" t="str">
        <f>IF('Sch2a-Imp Price by ECM'!B147="","",'Sch2a-Imp Price by ECM'!B147)</f>
        <v/>
      </c>
      <c r="B146" s="174" t="str">
        <f>IF('Sch2a-Imp Price by ECM'!D147="","",'Sch2a-Imp Price by ECM'!D147)</f>
        <v/>
      </c>
      <c r="C146" s="400" t="str">
        <f>IF('Sch2a-Imp Price by ECM'!G147="","",'Sch2a-Imp Price by ECM'!G147)</f>
        <v/>
      </c>
      <c r="D146" s="274"/>
      <c r="E146" s="391"/>
      <c r="F146" s="391"/>
      <c r="G146" s="391"/>
      <c r="H146" s="391"/>
      <c r="I146" s="276"/>
      <c r="J146" s="391"/>
      <c r="K146" s="275"/>
      <c r="L146" s="275"/>
      <c r="M146" s="275"/>
      <c r="N146" s="269"/>
      <c r="O146" s="391"/>
      <c r="P146" s="275"/>
      <c r="Q146" s="392"/>
      <c r="R146" s="275"/>
      <c r="S146" s="392"/>
      <c r="T146" s="393"/>
      <c r="U146" s="392"/>
      <c r="V146" s="393"/>
      <c r="W146" s="394"/>
      <c r="X146" s="393"/>
      <c r="Y146" s="390">
        <f t="shared" si="12"/>
        <v>0</v>
      </c>
      <c r="Z146" s="16">
        <f t="shared" si="9"/>
        <v>0</v>
      </c>
      <c r="AA146" s="392"/>
      <c r="AB146" s="393"/>
      <c r="AC146" s="393"/>
      <c r="AD146" s="393"/>
      <c r="AE146" s="139">
        <f t="shared" si="10"/>
        <v>0</v>
      </c>
      <c r="AF146" s="139" t="str">
        <f>IF('Sch2a-Imp Price by ECM'!C147="Yes", 0, 'Sch2a-Imp Price by ECM'!L147)</f>
        <v/>
      </c>
      <c r="AG146" s="159" t="str">
        <f t="shared" si="11"/>
        <v/>
      </c>
      <c r="AH146" s="4" t="str">
        <f>IF('Sch2a-Imp Price by ECM'!M147="","",'Sch2a-Imp Price by ECM'!M147)</f>
        <v/>
      </c>
    </row>
    <row r="147" spans="1:34" ht="17" thickBot="1">
      <c r="A147" s="75" t="str">
        <f>IF('Sch2a-Imp Price by ECM'!B148="","",'Sch2a-Imp Price by ECM'!B148)</f>
        <v/>
      </c>
      <c r="B147" s="174" t="str">
        <f>IF('Sch2a-Imp Price by ECM'!D148="","",'Sch2a-Imp Price by ECM'!D148)</f>
        <v/>
      </c>
      <c r="C147" s="400" t="str">
        <f>IF('Sch2a-Imp Price by ECM'!G148="","",'Sch2a-Imp Price by ECM'!G148)</f>
        <v/>
      </c>
      <c r="D147" s="274"/>
      <c r="E147" s="391"/>
      <c r="F147" s="391"/>
      <c r="G147" s="391"/>
      <c r="H147" s="391"/>
      <c r="I147" s="276"/>
      <c r="J147" s="391"/>
      <c r="K147" s="275"/>
      <c r="L147" s="275"/>
      <c r="M147" s="275"/>
      <c r="N147" s="269"/>
      <c r="O147" s="391"/>
      <c r="P147" s="275"/>
      <c r="Q147" s="392"/>
      <c r="R147" s="275"/>
      <c r="S147" s="392"/>
      <c r="T147" s="393"/>
      <c r="U147" s="392"/>
      <c r="V147" s="393"/>
      <c r="W147" s="394"/>
      <c r="X147" s="393"/>
      <c r="Y147" s="390">
        <f t="shared" si="12"/>
        <v>0</v>
      </c>
      <c r="Z147" s="16">
        <f t="shared" si="9"/>
        <v>0</v>
      </c>
      <c r="AA147" s="392"/>
      <c r="AB147" s="393"/>
      <c r="AC147" s="393"/>
      <c r="AD147" s="393"/>
      <c r="AE147" s="139">
        <f t="shared" si="10"/>
        <v>0</v>
      </c>
      <c r="AF147" s="139" t="str">
        <f>IF('Sch2a-Imp Price by ECM'!C148="Yes", 0, 'Sch2a-Imp Price by ECM'!L148)</f>
        <v/>
      </c>
      <c r="AG147" s="159" t="str">
        <f t="shared" si="11"/>
        <v/>
      </c>
      <c r="AH147" s="4" t="str">
        <f>IF('Sch2a-Imp Price by ECM'!M148="","",'Sch2a-Imp Price by ECM'!M148)</f>
        <v/>
      </c>
    </row>
    <row r="148" spans="1:34" ht="17" thickBot="1">
      <c r="A148" s="75" t="str">
        <f>IF('Sch2a-Imp Price by ECM'!B149="","",'Sch2a-Imp Price by ECM'!B149)</f>
        <v/>
      </c>
      <c r="B148" s="174" t="str">
        <f>IF('Sch2a-Imp Price by ECM'!D149="","",'Sch2a-Imp Price by ECM'!D149)</f>
        <v/>
      </c>
      <c r="C148" s="400" t="str">
        <f>IF('Sch2a-Imp Price by ECM'!G149="","",'Sch2a-Imp Price by ECM'!G149)</f>
        <v/>
      </c>
      <c r="D148" s="274"/>
      <c r="E148" s="391"/>
      <c r="F148" s="391"/>
      <c r="G148" s="391"/>
      <c r="H148" s="391"/>
      <c r="I148" s="276"/>
      <c r="J148" s="391"/>
      <c r="K148" s="275"/>
      <c r="L148" s="275"/>
      <c r="M148" s="275"/>
      <c r="N148" s="269"/>
      <c r="O148" s="391"/>
      <c r="P148" s="275"/>
      <c r="Q148" s="392"/>
      <c r="R148" s="275"/>
      <c r="S148" s="392"/>
      <c r="T148" s="393"/>
      <c r="U148" s="392"/>
      <c r="V148" s="393"/>
      <c r="W148" s="394"/>
      <c r="X148" s="393"/>
      <c r="Y148" s="390">
        <f t="shared" si="12"/>
        <v>0</v>
      </c>
      <c r="Z148" s="16">
        <f t="shared" si="9"/>
        <v>0</v>
      </c>
      <c r="AA148" s="392"/>
      <c r="AB148" s="393"/>
      <c r="AC148" s="393"/>
      <c r="AD148" s="393"/>
      <c r="AE148" s="139">
        <f t="shared" si="10"/>
        <v>0</v>
      </c>
      <c r="AF148" s="139" t="str">
        <f>IF('Sch2a-Imp Price by ECM'!C149="Yes", 0, 'Sch2a-Imp Price by ECM'!L149)</f>
        <v/>
      </c>
      <c r="AG148" s="159" t="str">
        <f t="shared" si="11"/>
        <v/>
      </c>
      <c r="AH148" s="4" t="str">
        <f>IF('Sch2a-Imp Price by ECM'!M149="","",'Sch2a-Imp Price by ECM'!M149)</f>
        <v/>
      </c>
    </row>
    <row r="149" spans="1:34" ht="17" thickBot="1">
      <c r="A149" s="75" t="str">
        <f>IF('Sch2a-Imp Price by ECM'!B150="","",'Sch2a-Imp Price by ECM'!B150)</f>
        <v/>
      </c>
      <c r="B149" s="174" t="str">
        <f>IF('Sch2a-Imp Price by ECM'!D150="","",'Sch2a-Imp Price by ECM'!D150)</f>
        <v/>
      </c>
      <c r="C149" s="400" t="str">
        <f>IF('Sch2a-Imp Price by ECM'!G150="","",'Sch2a-Imp Price by ECM'!G150)</f>
        <v/>
      </c>
      <c r="D149" s="274"/>
      <c r="E149" s="391"/>
      <c r="F149" s="391"/>
      <c r="G149" s="391"/>
      <c r="H149" s="391"/>
      <c r="I149" s="276"/>
      <c r="J149" s="391"/>
      <c r="K149" s="275"/>
      <c r="L149" s="275"/>
      <c r="M149" s="275"/>
      <c r="N149" s="269"/>
      <c r="O149" s="391"/>
      <c r="P149" s="275"/>
      <c r="Q149" s="392"/>
      <c r="R149" s="275"/>
      <c r="S149" s="392"/>
      <c r="T149" s="393"/>
      <c r="U149" s="392"/>
      <c r="V149" s="393"/>
      <c r="W149" s="394"/>
      <c r="X149" s="393"/>
      <c r="Y149" s="390">
        <f t="shared" si="12"/>
        <v>0</v>
      </c>
      <c r="Z149" s="16">
        <f t="shared" si="9"/>
        <v>0</v>
      </c>
      <c r="AA149" s="392"/>
      <c r="AB149" s="393"/>
      <c r="AC149" s="393"/>
      <c r="AD149" s="393"/>
      <c r="AE149" s="139">
        <f t="shared" si="10"/>
        <v>0</v>
      </c>
      <c r="AF149" s="139" t="str">
        <f>IF('Sch2a-Imp Price by ECM'!C150="Yes", 0, 'Sch2a-Imp Price by ECM'!L150)</f>
        <v/>
      </c>
      <c r="AG149" s="159" t="str">
        <f t="shared" si="11"/>
        <v/>
      </c>
      <c r="AH149" s="4" t="str">
        <f>IF('Sch2a-Imp Price by ECM'!M150="","",'Sch2a-Imp Price by ECM'!M150)</f>
        <v/>
      </c>
    </row>
    <row r="150" spans="1:34" ht="17" thickBot="1">
      <c r="A150" s="75" t="str">
        <f>IF('Sch2a-Imp Price by ECM'!B151="","",'Sch2a-Imp Price by ECM'!B151)</f>
        <v/>
      </c>
      <c r="B150" s="174" t="str">
        <f>IF('Sch2a-Imp Price by ECM'!D151="","",'Sch2a-Imp Price by ECM'!D151)</f>
        <v/>
      </c>
      <c r="C150" s="400" t="str">
        <f>IF('Sch2a-Imp Price by ECM'!G151="","",'Sch2a-Imp Price by ECM'!G151)</f>
        <v/>
      </c>
      <c r="D150" s="274"/>
      <c r="E150" s="391"/>
      <c r="F150" s="391"/>
      <c r="G150" s="391"/>
      <c r="H150" s="391"/>
      <c r="I150" s="276"/>
      <c r="J150" s="391"/>
      <c r="K150" s="275"/>
      <c r="L150" s="275"/>
      <c r="M150" s="275"/>
      <c r="N150" s="269"/>
      <c r="O150" s="391"/>
      <c r="P150" s="275"/>
      <c r="Q150" s="392"/>
      <c r="R150" s="275"/>
      <c r="S150" s="392"/>
      <c r="T150" s="393"/>
      <c r="U150" s="392"/>
      <c r="V150" s="393"/>
      <c r="W150" s="394"/>
      <c r="X150" s="393"/>
      <c r="Y150" s="390">
        <f t="shared" si="12"/>
        <v>0</v>
      </c>
      <c r="Z150" s="16">
        <f t="shared" si="9"/>
        <v>0</v>
      </c>
      <c r="AA150" s="392"/>
      <c r="AB150" s="393"/>
      <c r="AC150" s="393"/>
      <c r="AD150" s="393"/>
      <c r="AE150" s="139">
        <f t="shared" si="10"/>
        <v>0</v>
      </c>
      <c r="AF150" s="139" t="str">
        <f>IF('Sch2a-Imp Price by ECM'!C151="Yes", 0, 'Sch2a-Imp Price by ECM'!L151)</f>
        <v/>
      </c>
      <c r="AG150" s="159" t="str">
        <f t="shared" si="11"/>
        <v/>
      </c>
      <c r="AH150" s="4" t="str">
        <f>IF('Sch2a-Imp Price by ECM'!M151="","",'Sch2a-Imp Price by ECM'!M151)</f>
        <v/>
      </c>
    </row>
    <row r="151" spans="1:34" ht="17" thickBot="1">
      <c r="A151" s="75" t="str">
        <f>IF('Sch2a-Imp Price by ECM'!B152="","",'Sch2a-Imp Price by ECM'!B152)</f>
        <v/>
      </c>
      <c r="B151" s="174" t="str">
        <f>IF('Sch2a-Imp Price by ECM'!D152="","",'Sch2a-Imp Price by ECM'!D152)</f>
        <v/>
      </c>
      <c r="C151" s="400" t="str">
        <f>IF('Sch2a-Imp Price by ECM'!G152="","",'Sch2a-Imp Price by ECM'!G152)</f>
        <v/>
      </c>
      <c r="D151" s="274"/>
      <c r="E151" s="391"/>
      <c r="F151" s="391"/>
      <c r="G151" s="391"/>
      <c r="H151" s="391"/>
      <c r="I151" s="276"/>
      <c r="J151" s="391"/>
      <c r="K151" s="275"/>
      <c r="L151" s="275"/>
      <c r="M151" s="275"/>
      <c r="N151" s="269"/>
      <c r="O151" s="391"/>
      <c r="P151" s="275"/>
      <c r="Q151" s="392"/>
      <c r="R151" s="275"/>
      <c r="S151" s="392"/>
      <c r="T151" s="393"/>
      <c r="U151" s="392"/>
      <c r="V151" s="393"/>
      <c r="W151" s="394"/>
      <c r="X151" s="393"/>
      <c r="Y151" s="390">
        <f t="shared" si="12"/>
        <v>0</v>
      </c>
      <c r="Z151" s="16">
        <f t="shared" si="9"/>
        <v>0</v>
      </c>
      <c r="AA151" s="392"/>
      <c r="AB151" s="393"/>
      <c r="AC151" s="393"/>
      <c r="AD151" s="393"/>
      <c r="AE151" s="139">
        <f t="shared" si="10"/>
        <v>0</v>
      </c>
      <c r="AF151" s="139" t="str">
        <f>IF('Sch2a-Imp Price by ECM'!C152="Yes", 0, 'Sch2a-Imp Price by ECM'!L152)</f>
        <v/>
      </c>
      <c r="AG151" s="159" t="str">
        <f t="shared" si="11"/>
        <v/>
      </c>
      <c r="AH151" s="4" t="str">
        <f>IF('Sch2a-Imp Price by ECM'!M152="","",'Sch2a-Imp Price by ECM'!M152)</f>
        <v/>
      </c>
    </row>
    <row r="152" spans="1:34" ht="17" thickBot="1">
      <c r="A152" s="75" t="str">
        <f>IF('Sch2a-Imp Price by ECM'!B153="","",'Sch2a-Imp Price by ECM'!B153)</f>
        <v/>
      </c>
      <c r="B152" s="174" t="str">
        <f>IF('Sch2a-Imp Price by ECM'!D153="","",'Sch2a-Imp Price by ECM'!D153)</f>
        <v/>
      </c>
      <c r="C152" s="400" t="str">
        <f>IF('Sch2a-Imp Price by ECM'!G153="","",'Sch2a-Imp Price by ECM'!G153)</f>
        <v/>
      </c>
      <c r="D152" s="274"/>
      <c r="E152" s="391"/>
      <c r="F152" s="391"/>
      <c r="G152" s="391"/>
      <c r="H152" s="391"/>
      <c r="I152" s="276"/>
      <c r="J152" s="391"/>
      <c r="K152" s="275"/>
      <c r="L152" s="275"/>
      <c r="M152" s="275"/>
      <c r="N152" s="269"/>
      <c r="O152" s="391"/>
      <c r="P152" s="275"/>
      <c r="Q152" s="392"/>
      <c r="R152" s="275"/>
      <c r="S152" s="392"/>
      <c r="T152" s="393"/>
      <c r="U152" s="392"/>
      <c r="V152" s="393"/>
      <c r="W152" s="394"/>
      <c r="X152" s="393"/>
      <c r="Y152" s="390">
        <f t="shared" si="12"/>
        <v>0</v>
      </c>
      <c r="Z152" s="16">
        <f t="shared" si="9"/>
        <v>0</v>
      </c>
      <c r="AA152" s="392"/>
      <c r="AB152" s="393"/>
      <c r="AC152" s="393"/>
      <c r="AD152" s="393"/>
      <c r="AE152" s="139">
        <f t="shared" si="10"/>
        <v>0</v>
      </c>
      <c r="AF152" s="139" t="str">
        <f>IF('Sch2a-Imp Price by ECM'!C153="Yes", 0, 'Sch2a-Imp Price by ECM'!L153)</f>
        <v/>
      </c>
      <c r="AG152" s="159" t="str">
        <f t="shared" si="11"/>
        <v/>
      </c>
      <c r="AH152" s="4" t="str">
        <f>IF('Sch2a-Imp Price by ECM'!M153="","",'Sch2a-Imp Price by ECM'!M153)</f>
        <v/>
      </c>
    </row>
    <row r="153" spans="1:34" ht="17" thickBot="1">
      <c r="A153" s="75" t="str">
        <f>IF('Sch2a-Imp Price by ECM'!B154="","",'Sch2a-Imp Price by ECM'!B154)</f>
        <v/>
      </c>
      <c r="B153" s="174" t="str">
        <f>IF('Sch2a-Imp Price by ECM'!D154="","",'Sch2a-Imp Price by ECM'!D154)</f>
        <v/>
      </c>
      <c r="C153" s="400" t="str">
        <f>IF('Sch2a-Imp Price by ECM'!G154="","",'Sch2a-Imp Price by ECM'!G154)</f>
        <v/>
      </c>
      <c r="D153" s="274"/>
      <c r="E153" s="391"/>
      <c r="F153" s="391"/>
      <c r="G153" s="391"/>
      <c r="H153" s="391"/>
      <c r="I153" s="276"/>
      <c r="J153" s="391"/>
      <c r="K153" s="275"/>
      <c r="L153" s="275"/>
      <c r="M153" s="275"/>
      <c r="N153" s="269"/>
      <c r="O153" s="391"/>
      <c r="P153" s="275"/>
      <c r="Q153" s="392"/>
      <c r="R153" s="275"/>
      <c r="S153" s="392"/>
      <c r="T153" s="393"/>
      <c r="U153" s="392"/>
      <c r="V153" s="393"/>
      <c r="W153" s="394"/>
      <c r="X153" s="393"/>
      <c r="Y153" s="390">
        <f t="shared" si="12"/>
        <v>0</v>
      </c>
      <c r="Z153" s="16">
        <f t="shared" si="9"/>
        <v>0</v>
      </c>
      <c r="AA153" s="392"/>
      <c r="AB153" s="393"/>
      <c r="AC153" s="393"/>
      <c r="AD153" s="393"/>
      <c r="AE153" s="139">
        <f t="shared" si="10"/>
        <v>0</v>
      </c>
      <c r="AF153" s="139" t="str">
        <f>IF('Sch2a-Imp Price by ECM'!C154="Yes", 0, 'Sch2a-Imp Price by ECM'!L154)</f>
        <v/>
      </c>
      <c r="AG153" s="159" t="str">
        <f t="shared" si="11"/>
        <v/>
      </c>
      <c r="AH153" s="4" t="str">
        <f>IF('Sch2a-Imp Price by ECM'!M154="","",'Sch2a-Imp Price by ECM'!M154)</f>
        <v/>
      </c>
    </row>
    <row r="154" spans="1:34" ht="17" thickBot="1">
      <c r="A154" s="75" t="str">
        <f>IF('Sch2a-Imp Price by ECM'!B155="","",'Sch2a-Imp Price by ECM'!B155)</f>
        <v/>
      </c>
      <c r="B154" s="174" t="str">
        <f>IF('Sch2a-Imp Price by ECM'!D155="","",'Sch2a-Imp Price by ECM'!D155)</f>
        <v/>
      </c>
      <c r="C154" s="400" t="str">
        <f>IF('Sch2a-Imp Price by ECM'!G155="","",'Sch2a-Imp Price by ECM'!G155)</f>
        <v/>
      </c>
      <c r="D154" s="274"/>
      <c r="E154" s="391"/>
      <c r="F154" s="391"/>
      <c r="G154" s="391"/>
      <c r="H154" s="391"/>
      <c r="I154" s="276"/>
      <c r="J154" s="391"/>
      <c r="K154" s="275"/>
      <c r="L154" s="275"/>
      <c r="M154" s="275"/>
      <c r="N154" s="269"/>
      <c r="O154" s="391"/>
      <c r="P154" s="275"/>
      <c r="Q154" s="392"/>
      <c r="R154" s="275"/>
      <c r="S154" s="392"/>
      <c r="T154" s="393"/>
      <c r="U154" s="392"/>
      <c r="V154" s="393"/>
      <c r="W154" s="394"/>
      <c r="X154" s="393"/>
      <c r="Y154" s="390">
        <f t="shared" si="12"/>
        <v>0</v>
      </c>
      <c r="Z154" s="16">
        <f t="shared" si="9"/>
        <v>0</v>
      </c>
      <c r="AA154" s="392"/>
      <c r="AB154" s="393"/>
      <c r="AC154" s="393"/>
      <c r="AD154" s="393"/>
      <c r="AE154" s="139">
        <f t="shared" si="10"/>
        <v>0</v>
      </c>
      <c r="AF154" s="139" t="str">
        <f>IF('Sch2a-Imp Price by ECM'!C155="Yes", 0, 'Sch2a-Imp Price by ECM'!L155)</f>
        <v/>
      </c>
      <c r="AG154" s="159" t="str">
        <f t="shared" si="11"/>
        <v/>
      </c>
      <c r="AH154" s="4" t="str">
        <f>IF('Sch2a-Imp Price by ECM'!M155="","",'Sch2a-Imp Price by ECM'!M155)</f>
        <v/>
      </c>
    </row>
    <row r="155" spans="1:34" ht="17" thickBot="1">
      <c r="A155" s="75" t="str">
        <f>IF('Sch2a-Imp Price by ECM'!B156="","",'Sch2a-Imp Price by ECM'!B156)</f>
        <v/>
      </c>
      <c r="B155" s="174" t="str">
        <f>IF('Sch2a-Imp Price by ECM'!D156="","",'Sch2a-Imp Price by ECM'!D156)</f>
        <v/>
      </c>
      <c r="C155" s="400" t="str">
        <f>IF('Sch2a-Imp Price by ECM'!G156="","",'Sch2a-Imp Price by ECM'!G156)</f>
        <v/>
      </c>
      <c r="D155" s="274"/>
      <c r="E155" s="391"/>
      <c r="F155" s="391"/>
      <c r="G155" s="391"/>
      <c r="H155" s="391"/>
      <c r="I155" s="276"/>
      <c r="J155" s="391"/>
      <c r="K155" s="275"/>
      <c r="L155" s="275"/>
      <c r="M155" s="275"/>
      <c r="N155" s="269"/>
      <c r="O155" s="391"/>
      <c r="P155" s="275"/>
      <c r="Q155" s="392"/>
      <c r="R155" s="275"/>
      <c r="S155" s="392"/>
      <c r="T155" s="393"/>
      <c r="U155" s="392"/>
      <c r="V155" s="393"/>
      <c r="W155" s="394"/>
      <c r="X155" s="393"/>
      <c r="Y155" s="390">
        <f t="shared" si="12"/>
        <v>0</v>
      </c>
      <c r="Z155" s="16">
        <f t="shared" si="9"/>
        <v>0</v>
      </c>
      <c r="AA155" s="392"/>
      <c r="AB155" s="393"/>
      <c r="AC155" s="393"/>
      <c r="AD155" s="393"/>
      <c r="AE155" s="139">
        <f t="shared" si="10"/>
        <v>0</v>
      </c>
      <c r="AF155" s="139" t="str">
        <f>IF('Sch2a-Imp Price by ECM'!C156="Yes", 0, 'Sch2a-Imp Price by ECM'!L156)</f>
        <v/>
      </c>
      <c r="AG155" s="159" t="str">
        <f t="shared" si="11"/>
        <v/>
      </c>
      <c r="AH155" s="4" t="str">
        <f>IF('Sch2a-Imp Price by ECM'!M156="","",'Sch2a-Imp Price by ECM'!M156)</f>
        <v/>
      </c>
    </row>
    <row r="156" spans="1:34" ht="17" thickBot="1">
      <c r="A156" s="75" t="str">
        <f>IF('Sch2a-Imp Price by ECM'!B157="","",'Sch2a-Imp Price by ECM'!B157)</f>
        <v/>
      </c>
      <c r="B156" s="174" t="str">
        <f>IF('Sch2a-Imp Price by ECM'!D157="","",'Sch2a-Imp Price by ECM'!D157)</f>
        <v/>
      </c>
      <c r="C156" s="400" t="str">
        <f>IF('Sch2a-Imp Price by ECM'!G157="","",'Sch2a-Imp Price by ECM'!G157)</f>
        <v/>
      </c>
      <c r="D156" s="274"/>
      <c r="E156" s="391"/>
      <c r="F156" s="391"/>
      <c r="G156" s="391"/>
      <c r="H156" s="391"/>
      <c r="I156" s="276"/>
      <c r="J156" s="391"/>
      <c r="K156" s="275"/>
      <c r="L156" s="275"/>
      <c r="M156" s="275"/>
      <c r="N156" s="276"/>
      <c r="O156" s="391"/>
      <c r="P156" s="275"/>
      <c r="Q156" s="392"/>
      <c r="R156" s="275"/>
      <c r="S156" s="392"/>
      <c r="T156" s="393"/>
      <c r="U156" s="392"/>
      <c r="V156" s="393"/>
      <c r="W156" s="394"/>
      <c r="X156" s="393"/>
      <c r="Y156" s="390">
        <f t="shared" si="12"/>
        <v>0</v>
      </c>
      <c r="Z156" s="16">
        <f t="shared" si="9"/>
        <v>0</v>
      </c>
      <c r="AA156" s="392"/>
      <c r="AB156" s="393"/>
      <c r="AC156" s="393"/>
      <c r="AD156" s="393"/>
      <c r="AE156" s="139">
        <f t="shared" si="10"/>
        <v>0</v>
      </c>
      <c r="AF156" s="139" t="str">
        <f>IF('Sch2a-Imp Price by ECM'!C157="Yes", 0, 'Sch2a-Imp Price by ECM'!L157)</f>
        <v/>
      </c>
      <c r="AG156" s="159" t="str">
        <f t="shared" si="11"/>
        <v/>
      </c>
      <c r="AH156" s="4" t="str">
        <f>IF('Sch2a-Imp Price by ECM'!M157="","",'Sch2a-Imp Price by ECM'!M157)</f>
        <v/>
      </c>
    </row>
    <row r="157" spans="1:34" ht="17" thickBot="1">
      <c r="A157" s="75" t="str">
        <f>IF('Sch2a-Imp Price by ECM'!B158="","",'Sch2a-Imp Price by ECM'!B158)</f>
        <v/>
      </c>
      <c r="B157" s="174" t="str">
        <f>IF('Sch2a-Imp Price by ECM'!D158="","",'Sch2a-Imp Price by ECM'!D158)</f>
        <v/>
      </c>
      <c r="C157" s="400" t="str">
        <f>IF('Sch2a-Imp Price by ECM'!G158="","",'Sch2a-Imp Price by ECM'!G158)</f>
        <v/>
      </c>
      <c r="D157" s="274"/>
      <c r="E157" s="391"/>
      <c r="F157" s="391"/>
      <c r="G157" s="391"/>
      <c r="H157" s="391"/>
      <c r="I157" s="276"/>
      <c r="J157" s="391"/>
      <c r="K157" s="275"/>
      <c r="L157" s="275"/>
      <c r="M157" s="275"/>
      <c r="N157" s="276"/>
      <c r="O157" s="391"/>
      <c r="P157" s="275"/>
      <c r="Q157" s="392"/>
      <c r="R157" s="275"/>
      <c r="S157" s="392"/>
      <c r="T157" s="393"/>
      <c r="U157" s="392"/>
      <c r="V157" s="393"/>
      <c r="W157" s="394"/>
      <c r="X157" s="393"/>
      <c r="Y157" s="390">
        <f t="shared" si="12"/>
        <v>0</v>
      </c>
      <c r="Z157" s="16">
        <f t="shared" si="9"/>
        <v>0</v>
      </c>
      <c r="AA157" s="392"/>
      <c r="AB157" s="393"/>
      <c r="AC157" s="393"/>
      <c r="AD157" s="393"/>
      <c r="AE157" s="139">
        <f t="shared" si="10"/>
        <v>0</v>
      </c>
      <c r="AF157" s="139" t="str">
        <f>IF('Sch2a-Imp Price by ECM'!C158="Yes", 0, 'Sch2a-Imp Price by ECM'!L158)</f>
        <v/>
      </c>
      <c r="AG157" s="159" t="str">
        <f t="shared" si="11"/>
        <v/>
      </c>
      <c r="AH157" s="4" t="str">
        <f>IF('Sch2a-Imp Price by ECM'!M158="","",'Sch2a-Imp Price by ECM'!M158)</f>
        <v/>
      </c>
    </row>
    <row r="158" spans="1:34" ht="17" thickBot="1">
      <c r="A158" s="75" t="str">
        <f>IF('Sch2a-Imp Price by ECM'!B159="","",'Sch2a-Imp Price by ECM'!B159)</f>
        <v/>
      </c>
      <c r="B158" s="174" t="str">
        <f>IF('Sch2a-Imp Price by ECM'!D159="","",'Sch2a-Imp Price by ECM'!D159)</f>
        <v/>
      </c>
      <c r="C158" s="400" t="str">
        <f>IF('Sch2a-Imp Price by ECM'!G159="","",'Sch2a-Imp Price by ECM'!G159)</f>
        <v/>
      </c>
      <c r="D158" s="274"/>
      <c r="E158" s="391"/>
      <c r="F158" s="391"/>
      <c r="G158" s="391"/>
      <c r="H158" s="391"/>
      <c r="I158" s="276"/>
      <c r="J158" s="391"/>
      <c r="K158" s="275"/>
      <c r="L158" s="275"/>
      <c r="M158" s="275"/>
      <c r="N158" s="276"/>
      <c r="O158" s="391"/>
      <c r="P158" s="275"/>
      <c r="Q158" s="392"/>
      <c r="R158" s="275"/>
      <c r="S158" s="392"/>
      <c r="T158" s="393"/>
      <c r="U158" s="392"/>
      <c r="V158" s="393"/>
      <c r="W158" s="394"/>
      <c r="X158" s="393"/>
      <c r="Y158" s="390">
        <f t="shared" si="12"/>
        <v>0</v>
      </c>
      <c r="Z158" s="16">
        <f t="shared" si="9"/>
        <v>0</v>
      </c>
      <c r="AA158" s="392"/>
      <c r="AB158" s="393"/>
      <c r="AC158" s="393"/>
      <c r="AD158" s="393"/>
      <c r="AE158" s="139">
        <f t="shared" si="10"/>
        <v>0</v>
      </c>
      <c r="AF158" s="139" t="str">
        <f>IF('Sch2a-Imp Price by ECM'!C159="Yes", 0, 'Sch2a-Imp Price by ECM'!L159)</f>
        <v/>
      </c>
      <c r="AG158" s="159" t="str">
        <f t="shared" si="11"/>
        <v/>
      </c>
      <c r="AH158" s="4" t="str">
        <f>IF('Sch2a-Imp Price by ECM'!M159="","",'Sch2a-Imp Price by ECM'!M159)</f>
        <v/>
      </c>
    </row>
    <row r="159" spans="1:34" ht="17" thickBot="1">
      <c r="A159" s="75" t="str">
        <f>IF('Sch2a-Imp Price by ECM'!B160="","",'Sch2a-Imp Price by ECM'!B160)</f>
        <v/>
      </c>
      <c r="B159" s="174" t="str">
        <f>IF('Sch2a-Imp Price by ECM'!D160="","",'Sch2a-Imp Price by ECM'!D160)</f>
        <v/>
      </c>
      <c r="C159" s="400" t="str">
        <f>IF('Sch2a-Imp Price by ECM'!G160="","",'Sch2a-Imp Price by ECM'!G160)</f>
        <v/>
      </c>
      <c r="D159" s="274"/>
      <c r="E159" s="391"/>
      <c r="F159" s="391"/>
      <c r="G159" s="391"/>
      <c r="H159" s="391"/>
      <c r="I159" s="276"/>
      <c r="J159" s="391"/>
      <c r="K159" s="275"/>
      <c r="L159" s="275"/>
      <c r="M159" s="275"/>
      <c r="N159" s="276"/>
      <c r="O159" s="391"/>
      <c r="P159" s="275"/>
      <c r="Q159" s="392"/>
      <c r="R159" s="275"/>
      <c r="S159" s="392"/>
      <c r="T159" s="393"/>
      <c r="U159" s="392"/>
      <c r="V159" s="393"/>
      <c r="W159" s="394"/>
      <c r="X159" s="393"/>
      <c r="Y159" s="390">
        <f t="shared" si="12"/>
        <v>0</v>
      </c>
      <c r="Z159" s="16">
        <f t="shared" si="9"/>
        <v>0</v>
      </c>
      <c r="AA159" s="392"/>
      <c r="AB159" s="393"/>
      <c r="AC159" s="393"/>
      <c r="AD159" s="393"/>
      <c r="AE159" s="139">
        <f t="shared" si="10"/>
        <v>0</v>
      </c>
      <c r="AF159" s="139" t="str">
        <f>IF('Sch2a-Imp Price by ECM'!C160="Yes", 0, 'Sch2a-Imp Price by ECM'!L160)</f>
        <v/>
      </c>
      <c r="AG159" s="159" t="str">
        <f t="shared" si="11"/>
        <v/>
      </c>
      <c r="AH159" s="4" t="str">
        <f>IF('Sch2a-Imp Price by ECM'!M160="","",'Sch2a-Imp Price by ECM'!M160)</f>
        <v/>
      </c>
    </row>
    <row r="160" spans="1:34" ht="18" customHeight="1" thickBot="1">
      <c r="A160" s="75" t="str">
        <f>IF('Sch2a-Imp Price by ECM'!B161="","",'Sch2a-Imp Price by ECM'!B161)</f>
        <v/>
      </c>
      <c r="B160" s="174" t="str">
        <f>IF('Sch2a-Imp Price by ECM'!D161="","",'Sch2a-Imp Price by ECM'!D161)</f>
        <v/>
      </c>
      <c r="C160" s="400" t="str">
        <f>IF('Sch2a-Imp Price by ECM'!G161="","",'Sch2a-Imp Price by ECM'!G161)</f>
        <v/>
      </c>
      <c r="D160" s="274"/>
      <c r="E160" s="391"/>
      <c r="F160" s="391"/>
      <c r="G160" s="391"/>
      <c r="H160" s="391"/>
      <c r="I160" s="276"/>
      <c r="J160" s="391"/>
      <c r="K160" s="275"/>
      <c r="L160" s="275"/>
      <c r="M160" s="275"/>
      <c r="N160" s="276"/>
      <c r="O160" s="391"/>
      <c r="P160" s="275"/>
      <c r="Q160" s="392"/>
      <c r="R160" s="275"/>
      <c r="S160" s="392"/>
      <c r="T160" s="393"/>
      <c r="U160" s="392"/>
      <c r="V160" s="393"/>
      <c r="W160" s="394"/>
      <c r="X160" s="393"/>
      <c r="Y160" s="390">
        <f t="shared" si="12"/>
        <v>0</v>
      </c>
      <c r="Z160" s="16">
        <f t="shared" si="9"/>
        <v>0</v>
      </c>
      <c r="AA160" s="392"/>
      <c r="AB160" s="393"/>
      <c r="AC160" s="393"/>
      <c r="AD160" s="393"/>
      <c r="AE160" s="139">
        <f t="shared" si="10"/>
        <v>0</v>
      </c>
      <c r="AF160" s="139" t="str">
        <f>IF('Sch2a-Imp Price by ECM'!C161="Yes", 0, 'Sch2a-Imp Price by ECM'!L161)</f>
        <v/>
      </c>
      <c r="AG160" s="159" t="str">
        <f t="shared" si="11"/>
        <v/>
      </c>
      <c r="AH160" s="4" t="str">
        <f>IF('Sch2a-Imp Price by ECM'!M161="","",'Sch2a-Imp Price by ECM'!M161)</f>
        <v/>
      </c>
    </row>
    <row r="161" spans="1:34" ht="17" thickBot="1">
      <c r="A161" s="75" t="str">
        <f>IF('Sch2a-Imp Price by ECM'!B162="","",'Sch2a-Imp Price by ECM'!B162)</f>
        <v/>
      </c>
      <c r="B161" s="174" t="str">
        <f>IF('Sch2a-Imp Price by ECM'!D162="","",'Sch2a-Imp Price by ECM'!D162)</f>
        <v/>
      </c>
      <c r="C161" s="400" t="str">
        <f>IF('Sch2a-Imp Price by ECM'!G162="","",'Sch2a-Imp Price by ECM'!G162)</f>
        <v/>
      </c>
      <c r="D161" s="274"/>
      <c r="E161" s="391"/>
      <c r="F161" s="391"/>
      <c r="G161" s="391"/>
      <c r="H161" s="391"/>
      <c r="I161" s="276"/>
      <c r="J161" s="391"/>
      <c r="K161" s="275"/>
      <c r="L161" s="275"/>
      <c r="M161" s="275"/>
      <c r="N161" s="276"/>
      <c r="O161" s="391"/>
      <c r="P161" s="275"/>
      <c r="Q161" s="392"/>
      <c r="R161" s="275"/>
      <c r="S161" s="392"/>
      <c r="T161" s="393"/>
      <c r="U161" s="392"/>
      <c r="V161" s="393"/>
      <c r="W161" s="394"/>
      <c r="X161" s="393"/>
      <c r="Y161" s="390">
        <f t="shared" si="12"/>
        <v>0</v>
      </c>
      <c r="Z161" s="16">
        <f t="shared" si="9"/>
        <v>0</v>
      </c>
      <c r="AA161" s="392"/>
      <c r="AB161" s="393"/>
      <c r="AC161" s="393"/>
      <c r="AD161" s="393"/>
      <c r="AE161" s="139">
        <f t="shared" si="10"/>
        <v>0</v>
      </c>
      <c r="AF161" s="139" t="str">
        <f>IF('Sch2a-Imp Price by ECM'!C162="Yes", 0, 'Sch2a-Imp Price by ECM'!L162)</f>
        <v/>
      </c>
      <c r="AG161" s="159" t="str">
        <f t="shared" si="11"/>
        <v/>
      </c>
      <c r="AH161" s="4" t="str">
        <f>IF('Sch2a-Imp Price by ECM'!M162="","",'Sch2a-Imp Price by ECM'!M162)</f>
        <v/>
      </c>
    </row>
    <row r="162" spans="1:34" ht="17" thickBot="1">
      <c r="A162" s="75" t="str">
        <f>IF('Sch2a-Imp Price by ECM'!B163="","",'Sch2a-Imp Price by ECM'!B163)</f>
        <v/>
      </c>
      <c r="B162" s="174" t="str">
        <f>IF('Sch2a-Imp Price by ECM'!D163="","",'Sch2a-Imp Price by ECM'!D163)</f>
        <v/>
      </c>
      <c r="C162" s="400" t="str">
        <f>IF('Sch2a-Imp Price by ECM'!G163="","",'Sch2a-Imp Price by ECM'!G163)</f>
        <v/>
      </c>
      <c r="D162" s="274"/>
      <c r="E162" s="391"/>
      <c r="F162" s="391"/>
      <c r="G162" s="391"/>
      <c r="H162" s="391"/>
      <c r="I162" s="276"/>
      <c r="J162" s="391"/>
      <c r="K162" s="275"/>
      <c r="L162" s="275"/>
      <c r="M162" s="275"/>
      <c r="N162" s="276"/>
      <c r="O162" s="391"/>
      <c r="P162" s="275"/>
      <c r="Q162" s="392"/>
      <c r="R162" s="275"/>
      <c r="S162" s="392"/>
      <c r="T162" s="393"/>
      <c r="U162" s="392"/>
      <c r="V162" s="393"/>
      <c r="W162" s="394"/>
      <c r="X162" s="393"/>
      <c r="Y162" s="390">
        <f t="shared" si="12"/>
        <v>0</v>
      </c>
      <c r="Z162" s="16">
        <f t="shared" si="9"/>
        <v>0</v>
      </c>
      <c r="AA162" s="392"/>
      <c r="AB162" s="393"/>
      <c r="AC162" s="393"/>
      <c r="AD162" s="393"/>
      <c r="AE162" s="139">
        <f t="shared" si="10"/>
        <v>0</v>
      </c>
      <c r="AF162" s="139" t="str">
        <f>IF('Sch2a-Imp Price by ECM'!C163="Yes", 0, 'Sch2a-Imp Price by ECM'!L163)</f>
        <v/>
      </c>
      <c r="AG162" s="159" t="str">
        <f t="shared" si="11"/>
        <v/>
      </c>
      <c r="AH162" s="4" t="str">
        <f>IF('Sch2a-Imp Price by ECM'!M163="","",'Sch2a-Imp Price by ECM'!M163)</f>
        <v/>
      </c>
    </row>
    <row r="163" spans="1:34" ht="17" thickBot="1">
      <c r="A163" s="75" t="str">
        <f>IF('Sch2a-Imp Price by ECM'!B164="","",'Sch2a-Imp Price by ECM'!B164)</f>
        <v/>
      </c>
      <c r="B163" s="174" t="str">
        <f>IF('Sch2a-Imp Price by ECM'!D164="","",'Sch2a-Imp Price by ECM'!D164)</f>
        <v/>
      </c>
      <c r="C163" s="400" t="str">
        <f>IF('Sch2a-Imp Price by ECM'!G164="","",'Sch2a-Imp Price by ECM'!G164)</f>
        <v/>
      </c>
      <c r="D163" s="274"/>
      <c r="E163" s="391"/>
      <c r="F163" s="391"/>
      <c r="G163" s="391"/>
      <c r="H163" s="391"/>
      <c r="I163" s="276"/>
      <c r="J163" s="391"/>
      <c r="K163" s="275"/>
      <c r="L163" s="275"/>
      <c r="M163" s="275"/>
      <c r="N163" s="269"/>
      <c r="O163" s="391"/>
      <c r="P163" s="275"/>
      <c r="Q163" s="392"/>
      <c r="R163" s="275"/>
      <c r="S163" s="392"/>
      <c r="T163" s="393"/>
      <c r="U163" s="392"/>
      <c r="V163" s="393"/>
      <c r="W163" s="394"/>
      <c r="X163" s="393"/>
      <c r="Y163" s="390">
        <f t="shared" si="12"/>
        <v>0</v>
      </c>
      <c r="Z163" s="16">
        <f t="shared" si="9"/>
        <v>0</v>
      </c>
      <c r="AA163" s="392"/>
      <c r="AB163" s="393"/>
      <c r="AC163" s="393"/>
      <c r="AD163" s="393"/>
      <c r="AE163" s="139">
        <f t="shared" si="10"/>
        <v>0</v>
      </c>
      <c r="AF163" s="139" t="str">
        <f>IF('Sch2a-Imp Price by ECM'!C164="Yes", 0, 'Sch2a-Imp Price by ECM'!L164)</f>
        <v/>
      </c>
      <c r="AG163" s="159" t="str">
        <f t="shared" si="11"/>
        <v/>
      </c>
      <c r="AH163" s="4" t="str">
        <f>IF('Sch2a-Imp Price by ECM'!M164="","",'Sch2a-Imp Price by ECM'!M164)</f>
        <v/>
      </c>
    </row>
    <row r="164" spans="1:34" ht="17" thickBot="1">
      <c r="A164" s="75" t="str">
        <f>IF('Sch2a-Imp Price by ECM'!B165="","",'Sch2a-Imp Price by ECM'!B165)</f>
        <v/>
      </c>
      <c r="B164" s="174" t="str">
        <f>IF('Sch2a-Imp Price by ECM'!D165="","",'Sch2a-Imp Price by ECM'!D165)</f>
        <v/>
      </c>
      <c r="C164" s="400" t="str">
        <f>IF('Sch2a-Imp Price by ECM'!G165="","",'Sch2a-Imp Price by ECM'!G165)</f>
        <v/>
      </c>
      <c r="D164" s="274"/>
      <c r="E164" s="391"/>
      <c r="F164" s="391"/>
      <c r="G164" s="391"/>
      <c r="H164" s="391"/>
      <c r="I164" s="276"/>
      <c r="J164" s="391"/>
      <c r="K164" s="275"/>
      <c r="L164" s="275"/>
      <c r="M164" s="275"/>
      <c r="N164" s="269"/>
      <c r="O164" s="391"/>
      <c r="P164" s="275"/>
      <c r="Q164" s="392"/>
      <c r="R164" s="275"/>
      <c r="S164" s="392"/>
      <c r="T164" s="393"/>
      <c r="U164" s="392"/>
      <c r="V164" s="393"/>
      <c r="W164" s="394"/>
      <c r="X164" s="393"/>
      <c r="Y164" s="390">
        <f t="shared" si="12"/>
        <v>0</v>
      </c>
      <c r="Z164" s="16">
        <f t="shared" si="9"/>
        <v>0</v>
      </c>
      <c r="AA164" s="392"/>
      <c r="AB164" s="393"/>
      <c r="AC164" s="393"/>
      <c r="AD164" s="393"/>
      <c r="AE164" s="139">
        <f t="shared" si="10"/>
        <v>0</v>
      </c>
      <c r="AF164" s="139" t="str">
        <f>IF('Sch2a-Imp Price by ECM'!C165="Yes", 0, 'Sch2a-Imp Price by ECM'!L165)</f>
        <v/>
      </c>
      <c r="AG164" s="159" t="str">
        <f t="shared" si="11"/>
        <v/>
      </c>
      <c r="AH164" s="4" t="str">
        <f>IF('Sch2a-Imp Price by ECM'!M165="","",'Sch2a-Imp Price by ECM'!M165)</f>
        <v/>
      </c>
    </row>
    <row r="165" spans="1:34" ht="17" thickBot="1">
      <c r="A165" s="75" t="str">
        <f>IF('Sch2a-Imp Price by ECM'!B166="","",'Sch2a-Imp Price by ECM'!B166)</f>
        <v/>
      </c>
      <c r="B165" s="174" t="str">
        <f>IF('Sch2a-Imp Price by ECM'!D166="","",'Sch2a-Imp Price by ECM'!D166)</f>
        <v/>
      </c>
      <c r="C165" s="400" t="str">
        <f>IF('Sch2a-Imp Price by ECM'!G166="","",'Sch2a-Imp Price by ECM'!G166)</f>
        <v/>
      </c>
      <c r="D165" s="274"/>
      <c r="E165" s="391"/>
      <c r="F165" s="391"/>
      <c r="G165" s="391"/>
      <c r="H165" s="391"/>
      <c r="I165" s="276"/>
      <c r="J165" s="391"/>
      <c r="K165" s="275"/>
      <c r="L165" s="275"/>
      <c r="M165" s="275"/>
      <c r="N165" s="269"/>
      <c r="O165" s="391"/>
      <c r="P165" s="275"/>
      <c r="Q165" s="392"/>
      <c r="R165" s="275"/>
      <c r="S165" s="392"/>
      <c r="T165" s="393"/>
      <c r="U165" s="392"/>
      <c r="V165" s="393"/>
      <c r="W165" s="394"/>
      <c r="X165" s="393"/>
      <c r="Y165" s="390">
        <f t="shared" si="12"/>
        <v>0</v>
      </c>
      <c r="Z165" s="16">
        <f t="shared" si="9"/>
        <v>0</v>
      </c>
      <c r="AA165" s="392"/>
      <c r="AB165" s="393"/>
      <c r="AC165" s="393"/>
      <c r="AD165" s="393"/>
      <c r="AE165" s="139">
        <f t="shared" si="10"/>
        <v>0</v>
      </c>
      <c r="AF165" s="139" t="str">
        <f>IF('Sch2a-Imp Price by ECM'!C166="Yes", 0, 'Sch2a-Imp Price by ECM'!L166)</f>
        <v/>
      </c>
      <c r="AG165" s="159" t="str">
        <f t="shared" si="11"/>
        <v/>
      </c>
      <c r="AH165" s="4" t="str">
        <f>IF('Sch2a-Imp Price by ECM'!M166="","",'Sch2a-Imp Price by ECM'!M166)</f>
        <v/>
      </c>
    </row>
    <row r="166" spans="1:34" ht="17" thickBot="1">
      <c r="A166" s="75" t="str">
        <f>IF('Sch2a-Imp Price by ECM'!B167="","",'Sch2a-Imp Price by ECM'!B167)</f>
        <v/>
      </c>
      <c r="B166" s="174" t="str">
        <f>IF('Sch2a-Imp Price by ECM'!D167="","",'Sch2a-Imp Price by ECM'!D167)</f>
        <v/>
      </c>
      <c r="C166" s="400" t="str">
        <f>IF('Sch2a-Imp Price by ECM'!G167="","",'Sch2a-Imp Price by ECM'!G167)</f>
        <v/>
      </c>
      <c r="D166" s="274"/>
      <c r="E166" s="391"/>
      <c r="F166" s="391"/>
      <c r="G166" s="391"/>
      <c r="H166" s="391"/>
      <c r="I166" s="276"/>
      <c r="J166" s="391"/>
      <c r="K166" s="275"/>
      <c r="L166" s="275"/>
      <c r="M166" s="275"/>
      <c r="N166" s="269"/>
      <c r="O166" s="391"/>
      <c r="P166" s="275"/>
      <c r="Q166" s="392"/>
      <c r="R166" s="275"/>
      <c r="S166" s="392"/>
      <c r="T166" s="393"/>
      <c r="U166" s="392"/>
      <c r="V166" s="393"/>
      <c r="W166" s="394"/>
      <c r="X166" s="393"/>
      <c r="Y166" s="390">
        <f t="shared" si="12"/>
        <v>0</v>
      </c>
      <c r="Z166" s="16">
        <f t="shared" si="9"/>
        <v>0</v>
      </c>
      <c r="AA166" s="392"/>
      <c r="AB166" s="393"/>
      <c r="AC166" s="393"/>
      <c r="AD166" s="393"/>
      <c r="AE166" s="139">
        <f t="shared" si="10"/>
        <v>0</v>
      </c>
      <c r="AF166" s="139" t="str">
        <f>IF('Sch2a-Imp Price by ECM'!C167="Yes", 0, 'Sch2a-Imp Price by ECM'!L167)</f>
        <v/>
      </c>
      <c r="AG166" s="159" t="str">
        <f t="shared" si="11"/>
        <v/>
      </c>
      <c r="AH166" s="4" t="str">
        <f>IF('Sch2a-Imp Price by ECM'!M167="","",'Sch2a-Imp Price by ECM'!M167)</f>
        <v/>
      </c>
    </row>
    <row r="167" spans="1:34" ht="17" thickBot="1">
      <c r="A167" s="75" t="str">
        <f>IF('Sch2a-Imp Price by ECM'!B168="","",'Sch2a-Imp Price by ECM'!B168)</f>
        <v/>
      </c>
      <c r="B167" s="174" t="str">
        <f>IF('Sch2a-Imp Price by ECM'!D168="","",'Sch2a-Imp Price by ECM'!D168)</f>
        <v/>
      </c>
      <c r="C167" s="400" t="str">
        <f>IF('Sch2a-Imp Price by ECM'!G168="","",'Sch2a-Imp Price by ECM'!G168)</f>
        <v/>
      </c>
      <c r="D167" s="274"/>
      <c r="E167" s="391"/>
      <c r="F167" s="391"/>
      <c r="G167" s="391"/>
      <c r="H167" s="391"/>
      <c r="I167" s="276"/>
      <c r="J167" s="391"/>
      <c r="K167" s="275"/>
      <c r="L167" s="275"/>
      <c r="M167" s="275"/>
      <c r="N167" s="269"/>
      <c r="O167" s="391"/>
      <c r="P167" s="275"/>
      <c r="Q167" s="392"/>
      <c r="R167" s="275"/>
      <c r="S167" s="392"/>
      <c r="T167" s="393"/>
      <c r="U167" s="392"/>
      <c r="V167" s="393"/>
      <c r="W167" s="394"/>
      <c r="X167" s="393"/>
      <c r="Y167" s="390">
        <f t="shared" si="12"/>
        <v>0</v>
      </c>
      <c r="Z167" s="16">
        <f t="shared" si="9"/>
        <v>0</v>
      </c>
      <c r="AA167" s="392"/>
      <c r="AB167" s="393"/>
      <c r="AC167" s="393"/>
      <c r="AD167" s="393"/>
      <c r="AE167" s="139">
        <f t="shared" si="10"/>
        <v>0</v>
      </c>
      <c r="AF167" s="139" t="str">
        <f>IF('Sch2a-Imp Price by ECM'!C168="Yes", 0, 'Sch2a-Imp Price by ECM'!L168)</f>
        <v/>
      </c>
      <c r="AG167" s="159" t="str">
        <f t="shared" si="11"/>
        <v/>
      </c>
      <c r="AH167" s="4" t="str">
        <f>IF('Sch2a-Imp Price by ECM'!M168="","",'Sch2a-Imp Price by ECM'!M168)</f>
        <v/>
      </c>
    </row>
    <row r="168" spans="1:34" ht="17" thickBot="1">
      <c r="A168" s="75" t="str">
        <f>IF('Sch2a-Imp Price by ECM'!B169="","",'Sch2a-Imp Price by ECM'!B169)</f>
        <v/>
      </c>
      <c r="B168" s="174" t="str">
        <f>IF('Sch2a-Imp Price by ECM'!D169="","",'Sch2a-Imp Price by ECM'!D169)</f>
        <v/>
      </c>
      <c r="C168" s="400" t="str">
        <f>IF('Sch2a-Imp Price by ECM'!G169="","",'Sch2a-Imp Price by ECM'!G169)</f>
        <v/>
      </c>
      <c r="D168" s="274"/>
      <c r="E168" s="391"/>
      <c r="F168" s="391"/>
      <c r="G168" s="391"/>
      <c r="H168" s="391"/>
      <c r="I168" s="276"/>
      <c r="J168" s="391"/>
      <c r="K168" s="275"/>
      <c r="L168" s="275"/>
      <c r="M168" s="275"/>
      <c r="N168" s="269"/>
      <c r="O168" s="391"/>
      <c r="P168" s="275"/>
      <c r="Q168" s="392"/>
      <c r="R168" s="275"/>
      <c r="S168" s="392"/>
      <c r="T168" s="393"/>
      <c r="U168" s="392"/>
      <c r="V168" s="393"/>
      <c r="W168" s="394"/>
      <c r="X168" s="393"/>
      <c r="Y168" s="390">
        <f t="shared" si="12"/>
        <v>0</v>
      </c>
      <c r="Z168" s="16">
        <f t="shared" si="9"/>
        <v>0</v>
      </c>
      <c r="AA168" s="392"/>
      <c r="AB168" s="393"/>
      <c r="AC168" s="393"/>
      <c r="AD168" s="393"/>
      <c r="AE168" s="139">
        <f t="shared" si="10"/>
        <v>0</v>
      </c>
      <c r="AF168" s="139" t="str">
        <f>IF('Sch2a-Imp Price by ECM'!C169="Yes", 0, 'Sch2a-Imp Price by ECM'!L169)</f>
        <v/>
      </c>
      <c r="AG168" s="159" t="str">
        <f t="shared" si="11"/>
        <v/>
      </c>
      <c r="AH168" s="4" t="str">
        <f>IF('Sch2a-Imp Price by ECM'!M169="","",'Sch2a-Imp Price by ECM'!M169)</f>
        <v/>
      </c>
    </row>
    <row r="169" spans="1:34" ht="17" thickBot="1">
      <c r="A169" s="75" t="str">
        <f>IF('Sch2a-Imp Price by ECM'!B170="","",'Sch2a-Imp Price by ECM'!B170)</f>
        <v/>
      </c>
      <c r="B169" s="174" t="str">
        <f>IF('Sch2a-Imp Price by ECM'!D170="","",'Sch2a-Imp Price by ECM'!D170)</f>
        <v/>
      </c>
      <c r="C169" s="400" t="str">
        <f>IF('Sch2a-Imp Price by ECM'!G170="","",'Sch2a-Imp Price by ECM'!G170)</f>
        <v/>
      </c>
      <c r="D169" s="274"/>
      <c r="E169" s="391"/>
      <c r="F169" s="391"/>
      <c r="G169" s="391"/>
      <c r="H169" s="391"/>
      <c r="I169" s="276"/>
      <c r="J169" s="391"/>
      <c r="K169" s="275"/>
      <c r="L169" s="275"/>
      <c r="M169" s="275"/>
      <c r="N169" s="269"/>
      <c r="O169" s="391"/>
      <c r="P169" s="275"/>
      <c r="Q169" s="392"/>
      <c r="R169" s="275"/>
      <c r="S169" s="392"/>
      <c r="T169" s="393"/>
      <c r="U169" s="392"/>
      <c r="V169" s="393"/>
      <c r="W169" s="394"/>
      <c r="X169" s="393"/>
      <c r="Y169" s="390">
        <f t="shared" si="12"/>
        <v>0</v>
      </c>
      <c r="Z169" s="16">
        <f t="shared" si="9"/>
        <v>0</v>
      </c>
      <c r="AA169" s="392"/>
      <c r="AB169" s="393"/>
      <c r="AC169" s="393"/>
      <c r="AD169" s="393"/>
      <c r="AE169" s="139">
        <f t="shared" si="10"/>
        <v>0</v>
      </c>
      <c r="AF169" s="139" t="str">
        <f>IF('Sch2a-Imp Price by ECM'!C170="Yes", 0, 'Sch2a-Imp Price by ECM'!L170)</f>
        <v/>
      </c>
      <c r="AG169" s="159" t="str">
        <f t="shared" si="11"/>
        <v/>
      </c>
      <c r="AH169" s="4" t="str">
        <f>IF('Sch2a-Imp Price by ECM'!M170="","",'Sch2a-Imp Price by ECM'!M170)</f>
        <v/>
      </c>
    </row>
    <row r="170" spans="1:34" ht="17" thickBot="1">
      <c r="A170" s="75" t="str">
        <f>IF('Sch2a-Imp Price by ECM'!B171="","",'Sch2a-Imp Price by ECM'!B171)</f>
        <v/>
      </c>
      <c r="B170" s="174" t="str">
        <f>IF('Sch2a-Imp Price by ECM'!D171="","",'Sch2a-Imp Price by ECM'!D171)</f>
        <v/>
      </c>
      <c r="C170" s="400" t="str">
        <f>IF('Sch2a-Imp Price by ECM'!G171="","",'Sch2a-Imp Price by ECM'!G171)</f>
        <v/>
      </c>
      <c r="D170" s="274"/>
      <c r="E170" s="391"/>
      <c r="F170" s="391"/>
      <c r="G170" s="391"/>
      <c r="H170" s="391"/>
      <c r="I170" s="276"/>
      <c r="J170" s="391"/>
      <c r="K170" s="275"/>
      <c r="L170" s="275"/>
      <c r="M170" s="275"/>
      <c r="N170" s="269"/>
      <c r="O170" s="391"/>
      <c r="P170" s="275"/>
      <c r="Q170" s="392"/>
      <c r="R170" s="275"/>
      <c r="S170" s="392"/>
      <c r="T170" s="393"/>
      <c r="U170" s="392"/>
      <c r="V170" s="393"/>
      <c r="W170" s="394"/>
      <c r="X170" s="393"/>
      <c r="Y170" s="390">
        <f t="shared" si="12"/>
        <v>0</v>
      </c>
      <c r="Z170" s="16">
        <f t="shared" si="9"/>
        <v>0</v>
      </c>
      <c r="AA170" s="392"/>
      <c r="AB170" s="393"/>
      <c r="AC170" s="393"/>
      <c r="AD170" s="393"/>
      <c r="AE170" s="139">
        <f t="shared" si="10"/>
        <v>0</v>
      </c>
      <c r="AF170" s="139" t="str">
        <f>IF('Sch2a-Imp Price by ECM'!C171="Yes", 0, 'Sch2a-Imp Price by ECM'!L171)</f>
        <v/>
      </c>
      <c r="AG170" s="159" t="str">
        <f t="shared" si="11"/>
        <v/>
      </c>
      <c r="AH170" s="4" t="str">
        <f>IF('Sch2a-Imp Price by ECM'!M171="","",'Sch2a-Imp Price by ECM'!M171)</f>
        <v/>
      </c>
    </row>
    <row r="171" spans="1:34" ht="17" thickBot="1">
      <c r="A171" s="75" t="str">
        <f>IF('Sch2a-Imp Price by ECM'!B172="","",'Sch2a-Imp Price by ECM'!B172)</f>
        <v/>
      </c>
      <c r="B171" s="174" t="str">
        <f>IF('Sch2a-Imp Price by ECM'!D172="","",'Sch2a-Imp Price by ECM'!D172)</f>
        <v/>
      </c>
      <c r="C171" s="400" t="str">
        <f>IF('Sch2a-Imp Price by ECM'!G172="","",'Sch2a-Imp Price by ECM'!G172)</f>
        <v/>
      </c>
      <c r="D171" s="274"/>
      <c r="E171" s="391"/>
      <c r="F171" s="391"/>
      <c r="G171" s="391"/>
      <c r="H171" s="391"/>
      <c r="I171" s="276"/>
      <c r="J171" s="391"/>
      <c r="K171" s="275"/>
      <c r="L171" s="275"/>
      <c r="M171" s="275"/>
      <c r="N171" s="269"/>
      <c r="O171" s="391"/>
      <c r="P171" s="275"/>
      <c r="Q171" s="392"/>
      <c r="R171" s="275"/>
      <c r="S171" s="392"/>
      <c r="T171" s="393"/>
      <c r="U171" s="392"/>
      <c r="V171" s="393"/>
      <c r="W171" s="394"/>
      <c r="X171" s="393"/>
      <c r="Y171" s="390">
        <f t="shared" si="12"/>
        <v>0</v>
      </c>
      <c r="Z171" s="16">
        <f t="shared" si="9"/>
        <v>0</v>
      </c>
      <c r="AA171" s="392"/>
      <c r="AB171" s="393"/>
      <c r="AC171" s="393"/>
      <c r="AD171" s="393"/>
      <c r="AE171" s="139">
        <f t="shared" si="10"/>
        <v>0</v>
      </c>
      <c r="AF171" s="139" t="str">
        <f>IF('Sch2a-Imp Price by ECM'!C172="Yes", 0, 'Sch2a-Imp Price by ECM'!L172)</f>
        <v/>
      </c>
      <c r="AG171" s="159" t="str">
        <f t="shared" si="11"/>
        <v/>
      </c>
      <c r="AH171" s="4" t="str">
        <f>IF('Sch2a-Imp Price by ECM'!M172="","",'Sch2a-Imp Price by ECM'!M172)</f>
        <v/>
      </c>
    </row>
    <row r="172" spans="1:34" ht="17" thickBot="1">
      <c r="A172" s="75" t="str">
        <f>IF('Sch2a-Imp Price by ECM'!B173="","",'Sch2a-Imp Price by ECM'!B173)</f>
        <v/>
      </c>
      <c r="B172" s="174" t="str">
        <f>IF('Sch2a-Imp Price by ECM'!D173="","",'Sch2a-Imp Price by ECM'!D173)</f>
        <v/>
      </c>
      <c r="C172" s="400" t="str">
        <f>IF('Sch2a-Imp Price by ECM'!G173="","",'Sch2a-Imp Price by ECM'!G173)</f>
        <v/>
      </c>
      <c r="D172" s="274"/>
      <c r="E172" s="391"/>
      <c r="F172" s="391"/>
      <c r="G172" s="391"/>
      <c r="H172" s="391"/>
      <c r="I172" s="276"/>
      <c r="J172" s="391"/>
      <c r="K172" s="275"/>
      <c r="L172" s="275"/>
      <c r="M172" s="275"/>
      <c r="N172" s="269"/>
      <c r="O172" s="391"/>
      <c r="P172" s="275"/>
      <c r="Q172" s="392"/>
      <c r="R172" s="275"/>
      <c r="S172" s="392"/>
      <c r="T172" s="393"/>
      <c r="U172" s="392"/>
      <c r="V172" s="393"/>
      <c r="W172" s="394"/>
      <c r="X172" s="393"/>
      <c r="Y172" s="390">
        <f t="shared" si="12"/>
        <v>0</v>
      </c>
      <c r="Z172" s="16">
        <f t="shared" si="9"/>
        <v>0</v>
      </c>
      <c r="AA172" s="392"/>
      <c r="AB172" s="393"/>
      <c r="AC172" s="393"/>
      <c r="AD172" s="393"/>
      <c r="AE172" s="139">
        <f t="shared" si="10"/>
        <v>0</v>
      </c>
      <c r="AF172" s="139" t="str">
        <f>IF('Sch2a-Imp Price by ECM'!C173="Yes", 0, 'Sch2a-Imp Price by ECM'!L173)</f>
        <v/>
      </c>
      <c r="AG172" s="159" t="str">
        <f t="shared" si="11"/>
        <v/>
      </c>
      <c r="AH172" s="4" t="str">
        <f>IF('Sch2a-Imp Price by ECM'!M173="","",'Sch2a-Imp Price by ECM'!M173)</f>
        <v/>
      </c>
    </row>
    <row r="173" spans="1:34" ht="17" thickBot="1">
      <c r="A173" s="75" t="str">
        <f>IF('Sch2a-Imp Price by ECM'!B174="","",'Sch2a-Imp Price by ECM'!B174)</f>
        <v/>
      </c>
      <c r="B173" s="174" t="str">
        <f>IF('Sch2a-Imp Price by ECM'!D174="","",'Sch2a-Imp Price by ECM'!D174)</f>
        <v/>
      </c>
      <c r="C173" s="400" t="str">
        <f>IF('Sch2a-Imp Price by ECM'!G174="","",'Sch2a-Imp Price by ECM'!G174)</f>
        <v/>
      </c>
      <c r="D173" s="274"/>
      <c r="E173" s="391"/>
      <c r="F173" s="391"/>
      <c r="G173" s="391"/>
      <c r="H173" s="391"/>
      <c r="I173" s="276"/>
      <c r="J173" s="391"/>
      <c r="K173" s="275"/>
      <c r="L173" s="275"/>
      <c r="M173" s="275"/>
      <c r="N173" s="269"/>
      <c r="O173" s="391"/>
      <c r="P173" s="275"/>
      <c r="Q173" s="392"/>
      <c r="R173" s="275"/>
      <c r="S173" s="392"/>
      <c r="T173" s="393"/>
      <c r="U173" s="392"/>
      <c r="V173" s="393"/>
      <c r="W173" s="394"/>
      <c r="X173" s="393"/>
      <c r="Y173" s="390">
        <f t="shared" si="12"/>
        <v>0</v>
      </c>
      <c r="Z173" s="16">
        <f t="shared" si="9"/>
        <v>0</v>
      </c>
      <c r="AA173" s="392"/>
      <c r="AB173" s="393"/>
      <c r="AC173" s="393"/>
      <c r="AD173" s="393"/>
      <c r="AE173" s="139">
        <f t="shared" si="10"/>
        <v>0</v>
      </c>
      <c r="AF173" s="139" t="str">
        <f>IF('Sch2a-Imp Price by ECM'!C174="Yes", 0, 'Sch2a-Imp Price by ECM'!L174)</f>
        <v/>
      </c>
      <c r="AG173" s="159" t="str">
        <f t="shared" si="11"/>
        <v/>
      </c>
      <c r="AH173" s="4" t="str">
        <f>IF('Sch2a-Imp Price by ECM'!M174="","",'Sch2a-Imp Price by ECM'!M174)</f>
        <v/>
      </c>
    </row>
    <row r="174" spans="1:34" ht="17" thickBot="1">
      <c r="A174" s="75" t="str">
        <f>IF('Sch2a-Imp Price by ECM'!B175="","",'Sch2a-Imp Price by ECM'!B175)</f>
        <v/>
      </c>
      <c r="B174" s="174" t="str">
        <f>IF('Sch2a-Imp Price by ECM'!D175="","",'Sch2a-Imp Price by ECM'!D175)</f>
        <v/>
      </c>
      <c r="C174" s="400" t="str">
        <f>IF('Sch2a-Imp Price by ECM'!G175="","",'Sch2a-Imp Price by ECM'!G175)</f>
        <v/>
      </c>
      <c r="D174" s="274"/>
      <c r="E174" s="391"/>
      <c r="F174" s="391"/>
      <c r="G174" s="391"/>
      <c r="H174" s="391"/>
      <c r="I174" s="276"/>
      <c r="J174" s="391"/>
      <c r="K174" s="275"/>
      <c r="L174" s="275"/>
      <c r="M174" s="275"/>
      <c r="N174" s="269"/>
      <c r="O174" s="391"/>
      <c r="P174" s="275"/>
      <c r="Q174" s="392"/>
      <c r="R174" s="275"/>
      <c r="S174" s="392"/>
      <c r="T174" s="393"/>
      <c r="U174" s="392"/>
      <c r="V174" s="393"/>
      <c r="W174" s="394"/>
      <c r="X174" s="393"/>
      <c r="Y174" s="390">
        <f t="shared" si="12"/>
        <v>0</v>
      </c>
      <c r="Z174" s="16">
        <f t="shared" si="9"/>
        <v>0</v>
      </c>
      <c r="AA174" s="392"/>
      <c r="AB174" s="393"/>
      <c r="AC174" s="393"/>
      <c r="AD174" s="393"/>
      <c r="AE174" s="139">
        <f t="shared" si="10"/>
        <v>0</v>
      </c>
      <c r="AF174" s="139" t="str">
        <f>IF('Sch2a-Imp Price by ECM'!C175="Yes", 0, 'Sch2a-Imp Price by ECM'!L175)</f>
        <v/>
      </c>
      <c r="AG174" s="159" t="str">
        <f t="shared" si="11"/>
        <v/>
      </c>
      <c r="AH174" s="4" t="str">
        <f>IF('Sch2a-Imp Price by ECM'!M175="","",'Sch2a-Imp Price by ECM'!M175)</f>
        <v/>
      </c>
    </row>
    <row r="175" spans="1:34" ht="17" thickBot="1">
      <c r="A175" s="75" t="str">
        <f>IF('Sch2a-Imp Price by ECM'!B176="","",'Sch2a-Imp Price by ECM'!B176)</f>
        <v/>
      </c>
      <c r="B175" s="174" t="str">
        <f>IF('Sch2a-Imp Price by ECM'!D176="","",'Sch2a-Imp Price by ECM'!D176)</f>
        <v/>
      </c>
      <c r="C175" s="400" t="str">
        <f>IF('Sch2a-Imp Price by ECM'!G176="","",'Sch2a-Imp Price by ECM'!G176)</f>
        <v/>
      </c>
      <c r="D175" s="274"/>
      <c r="E175" s="391"/>
      <c r="F175" s="391"/>
      <c r="G175" s="391"/>
      <c r="H175" s="391"/>
      <c r="I175" s="276"/>
      <c r="J175" s="391"/>
      <c r="K175" s="275"/>
      <c r="L175" s="275"/>
      <c r="M175" s="275"/>
      <c r="N175" s="269"/>
      <c r="O175" s="391"/>
      <c r="P175" s="275"/>
      <c r="Q175" s="392"/>
      <c r="R175" s="275"/>
      <c r="S175" s="392"/>
      <c r="T175" s="393"/>
      <c r="U175" s="392"/>
      <c r="V175" s="393"/>
      <c r="W175" s="394"/>
      <c r="X175" s="393"/>
      <c r="Y175" s="390">
        <f t="shared" si="12"/>
        <v>0</v>
      </c>
      <c r="Z175" s="16">
        <f t="shared" si="9"/>
        <v>0</v>
      </c>
      <c r="AA175" s="392"/>
      <c r="AB175" s="393"/>
      <c r="AC175" s="393"/>
      <c r="AD175" s="393"/>
      <c r="AE175" s="139">
        <f t="shared" si="10"/>
        <v>0</v>
      </c>
      <c r="AF175" s="139" t="str">
        <f>IF('Sch2a-Imp Price by ECM'!C176="Yes", 0, 'Sch2a-Imp Price by ECM'!L176)</f>
        <v/>
      </c>
      <c r="AG175" s="159" t="str">
        <f t="shared" si="11"/>
        <v/>
      </c>
      <c r="AH175" s="4" t="str">
        <f>IF('Sch2a-Imp Price by ECM'!M176="","",'Sch2a-Imp Price by ECM'!M176)</f>
        <v/>
      </c>
    </row>
    <row r="176" spans="1:34" ht="17" thickBot="1">
      <c r="A176" s="75" t="str">
        <f>IF('Sch2a-Imp Price by ECM'!B177="","",'Sch2a-Imp Price by ECM'!B177)</f>
        <v/>
      </c>
      <c r="B176" s="174" t="str">
        <f>IF('Sch2a-Imp Price by ECM'!D177="","",'Sch2a-Imp Price by ECM'!D177)</f>
        <v/>
      </c>
      <c r="C176" s="400" t="str">
        <f>IF('Sch2a-Imp Price by ECM'!G177="","",'Sch2a-Imp Price by ECM'!G177)</f>
        <v/>
      </c>
      <c r="D176" s="274"/>
      <c r="E176" s="391"/>
      <c r="F176" s="391"/>
      <c r="G176" s="391"/>
      <c r="H176" s="391"/>
      <c r="I176" s="276"/>
      <c r="J176" s="391"/>
      <c r="K176" s="275"/>
      <c r="L176" s="275"/>
      <c r="M176" s="275"/>
      <c r="N176" s="269"/>
      <c r="O176" s="391"/>
      <c r="P176" s="275"/>
      <c r="Q176" s="392"/>
      <c r="R176" s="275"/>
      <c r="S176" s="392"/>
      <c r="T176" s="393"/>
      <c r="U176" s="392"/>
      <c r="V176" s="393"/>
      <c r="W176" s="394"/>
      <c r="X176" s="393"/>
      <c r="Y176" s="390">
        <f t="shared" si="12"/>
        <v>0</v>
      </c>
      <c r="Z176" s="16">
        <f t="shared" si="9"/>
        <v>0</v>
      </c>
      <c r="AA176" s="392"/>
      <c r="AB176" s="393"/>
      <c r="AC176" s="393"/>
      <c r="AD176" s="393"/>
      <c r="AE176" s="139">
        <f t="shared" si="10"/>
        <v>0</v>
      </c>
      <c r="AF176" s="139" t="str">
        <f>IF('Sch2a-Imp Price by ECM'!C177="Yes", 0, 'Sch2a-Imp Price by ECM'!L177)</f>
        <v/>
      </c>
      <c r="AG176" s="159" t="str">
        <f t="shared" si="11"/>
        <v/>
      </c>
      <c r="AH176" s="4" t="str">
        <f>IF('Sch2a-Imp Price by ECM'!M177="","",'Sch2a-Imp Price by ECM'!M177)</f>
        <v/>
      </c>
    </row>
    <row r="177" spans="1:34" ht="17" thickBot="1">
      <c r="A177" s="75" t="str">
        <f>IF('Sch2a-Imp Price by ECM'!B178="","",'Sch2a-Imp Price by ECM'!B178)</f>
        <v/>
      </c>
      <c r="B177" s="174" t="str">
        <f>IF('Sch2a-Imp Price by ECM'!D178="","",'Sch2a-Imp Price by ECM'!D178)</f>
        <v/>
      </c>
      <c r="C177" s="400" t="str">
        <f>IF('Sch2a-Imp Price by ECM'!G178="","",'Sch2a-Imp Price by ECM'!G178)</f>
        <v/>
      </c>
      <c r="D177" s="274"/>
      <c r="E177" s="391"/>
      <c r="F177" s="391"/>
      <c r="G177" s="391"/>
      <c r="H177" s="391"/>
      <c r="I177" s="276"/>
      <c r="J177" s="391"/>
      <c r="K177" s="275"/>
      <c r="L177" s="275"/>
      <c r="M177" s="275"/>
      <c r="N177" s="276"/>
      <c r="O177" s="391"/>
      <c r="P177" s="275"/>
      <c r="Q177" s="392"/>
      <c r="R177" s="275"/>
      <c r="S177" s="392"/>
      <c r="T177" s="393"/>
      <c r="U177" s="392"/>
      <c r="V177" s="393"/>
      <c r="W177" s="394"/>
      <c r="X177" s="393"/>
      <c r="Y177" s="390">
        <f t="shared" si="12"/>
        <v>0</v>
      </c>
      <c r="Z177" s="16">
        <f t="shared" si="9"/>
        <v>0</v>
      </c>
      <c r="AA177" s="392"/>
      <c r="AB177" s="393"/>
      <c r="AC177" s="393"/>
      <c r="AD177" s="393"/>
      <c r="AE177" s="139">
        <f t="shared" si="10"/>
        <v>0</v>
      </c>
      <c r="AF177" s="139" t="str">
        <f>IF('Sch2a-Imp Price by ECM'!C178="Yes", 0, 'Sch2a-Imp Price by ECM'!L178)</f>
        <v/>
      </c>
      <c r="AG177" s="159" t="str">
        <f t="shared" si="11"/>
        <v/>
      </c>
      <c r="AH177" s="4" t="str">
        <f>IF('Sch2a-Imp Price by ECM'!M178="","",'Sch2a-Imp Price by ECM'!M178)</f>
        <v/>
      </c>
    </row>
    <row r="178" spans="1:34" ht="17" thickBot="1">
      <c r="A178" s="75" t="str">
        <f>IF('Sch2a-Imp Price by ECM'!B179="","",'Sch2a-Imp Price by ECM'!B179)</f>
        <v/>
      </c>
      <c r="B178" s="174" t="str">
        <f>IF('Sch2a-Imp Price by ECM'!D179="","",'Sch2a-Imp Price by ECM'!D179)</f>
        <v/>
      </c>
      <c r="C178" s="400" t="str">
        <f>IF('Sch2a-Imp Price by ECM'!G179="","",'Sch2a-Imp Price by ECM'!G179)</f>
        <v/>
      </c>
      <c r="D178" s="274"/>
      <c r="E178" s="391"/>
      <c r="F178" s="391"/>
      <c r="G178" s="391"/>
      <c r="H178" s="391"/>
      <c r="I178" s="276"/>
      <c r="J178" s="391"/>
      <c r="K178" s="275"/>
      <c r="L178" s="275"/>
      <c r="M178" s="275"/>
      <c r="N178" s="276"/>
      <c r="O178" s="391"/>
      <c r="P178" s="275"/>
      <c r="Q178" s="392"/>
      <c r="R178" s="275"/>
      <c r="S178" s="392"/>
      <c r="T178" s="393"/>
      <c r="U178" s="392"/>
      <c r="V178" s="393"/>
      <c r="W178" s="394"/>
      <c r="X178" s="393"/>
      <c r="Y178" s="390">
        <f t="shared" si="12"/>
        <v>0</v>
      </c>
      <c r="Z178" s="16">
        <f t="shared" si="9"/>
        <v>0</v>
      </c>
      <c r="AA178" s="392"/>
      <c r="AB178" s="393"/>
      <c r="AC178" s="393"/>
      <c r="AD178" s="393"/>
      <c r="AE178" s="139">
        <f t="shared" si="10"/>
        <v>0</v>
      </c>
      <c r="AF178" s="139" t="str">
        <f>IF('Sch2a-Imp Price by ECM'!C179="Yes", 0, 'Sch2a-Imp Price by ECM'!L179)</f>
        <v/>
      </c>
      <c r="AG178" s="159" t="str">
        <f t="shared" si="11"/>
        <v/>
      </c>
      <c r="AH178" s="4" t="str">
        <f>IF('Sch2a-Imp Price by ECM'!M179="","",'Sch2a-Imp Price by ECM'!M179)</f>
        <v/>
      </c>
    </row>
    <row r="179" spans="1:34" ht="17" thickBot="1">
      <c r="A179" s="75" t="str">
        <f>IF('Sch2a-Imp Price by ECM'!B180="","",'Sch2a-Imp Price by ECM'!B180)</f>
        <v/>
      </c>
      <c r="B179" s="174" t="str">
        <f>IF('Sch2a-Imp Price by ECM'!D180="","",'Sch2a-Imp Price by ECM'!D180)</f>
        <v/>
      </c>
      <c r="C179" s="400" t="str">
        <f>IF('Sch2a-Imp Price by ECM'!G180="","",'Sch2a-Imp Price by ECM'!G180)</f>
        <v/>
      </c>
      <c r="D179" s="274"/>
      <c r="E179" s="391"/>
      <c r="F179" s="391"/>
      <c r="G179" s="391"/>
      <c r="H179" s="391"/>
      <c r="I179" s="276"/>
      <c r="J179" s="391"/>
      <c r="K179" s="275"/>
      <c r="L179" s="275"/>
      <c r="M179" s="275"/>
      <c r="N179" s="276"/>
      <c r="O179" s="391"/>
      <c r="P179" s="275"/>
      <c r="Q179" s="392"/>
      <c r="R179" s="275"/>
      <c r="S179" s="392"/>
      <c r="T179" s="393"/>
      <c r="U179" s="392"/>
      <c r="V179" s="393"/>
      <c r="W179" s="394"/>
      <c r="X179" s="393"/>
      <c r="Y179" s="390">
        <f t="shared" si="12"/>
        <v>0</v>
      </c>
      <c r="Z179" s="16">
        <f t="shared" si="9"/>
        <v>0</v>
      </c>
      <c r="AA179" s="392"/>
      <c r="AB179" s="393"/>
      <c r="AC179" s="393"/>
      <c r="AD179" s="393"/>
      <c r="AE179" s="139">
        <f t="shared" si="10"/>
        <v>0</v>
      </c>
      <c r="AF179" s="139" t="str">
        <f>IF('Sch2a-Imp Price by ECM'!C180="Yes", 0, 'Sch2a-Imp Price by ECM'!L180)</f>
        <v/>
      </c>
      <c r="AG179" s="159" t="str">
        <f t="shared" si="11"/>
        <v/>
      </c>
      <c r="AH179" s="4" t="str">
        <f>IF('Sch2a-Imp Price by ECM'!M180="","",'Sch2a-Imp Price by ECM'!M180)</f>
        <v/>
      </c>
    </row>
    <row r="180" spans="1:34" ht="17" thickBot="1">
      <c r="A180" s="75" t="str">
        <f>IF('Sch2a-Imp Price by ECM'!B181="","",'Sch2a-Imp Price by ECM'!B181)</f>
        <v/>
      </c>
      <c r="B180" s="174" t="str">
        <f>IF('Sch2a-Imp Price by ECM'!D181="","",'Sch2a-Imp Price by ECM'!D181)</f>
        <v/>
      </c>
      <c r="C180" s="400" t="str">
        <f>IF('Sch2a-Imp Price by ECM'!G181="","",'Sch2a-Imp Price by ECM'!G181)</f>
        <v/>
      </c>
      <c r="D180" s="274"/>
      <c r="E180" s="391"/>
      <c r="F180" s="391"/>
      <c r="G180" s="391"/>
      <c r="H180" s="391"/>
      <c r="I180" s="276"/>
      <c r="J180" s="391"/>
      <c r="K180" s="275"/>
      <c r="L180" s="275"/>
      <c r="M180" s="275"/>
      <c r="N180" s="276"/>
      <c r="O180" s="391"/>
      <c r="P180" s="275"/>
      <c r="Q180" s="392"/>
      <c r="R180" s="275"/>
      <c r="S180" s="392"/>
      <c r="T180" s="393"/>
      <c r="U180" s="392"/>
      <c r="V180" s="393"/>
      <c r="W180" s="394"/>
      <c r="X180" s="393"/>
      <c r="Y180" s="390">
        <f t="shared" si="12"/>
        <v>0</v>
      </c>
      <c r="Z180" s="16">
        <f t="shared" si="9"/>
        <v>0</v>
      </c>
      <c r="AA180" s="392"/>
      <c r="AB180" s="393"/>
      <c r="AC180" s="393"/>
      <c r="AD180" s="393"/>
      <c r="AE180" s="139">
        <f t="shared" si="10"/>
        <v>0</v>
      </c>
      <c r="AF180" s="139" t="str">
        <f>IF('Sch2a-Imp Price by ECM'!C181="Yes", 0, 'Sch2a-Imp Price by ECM'!L181)</f>
        <v/>
      </c>
      <c r="AG180" s="159" t="str">
        <f t="shared" si="11"/>
        <v/>
      </c>
      <c r="AH180" s="4" t="str">
        <f>IF('Sch2a-Imp Price by ECM'!M181="","",'Sch2a-Imp Price by ECM'!M181)</f>
        <v/>
      </c>
    </row>
    <row r="181" spans="1:34" ht="18" customHeight="1" thickBot="1">
      <c r="A181" s="75" t="str">
        <f>IF('Sch2a-Imp Price by ECM'!B182="","",'Sch2a-Imp Price by ECM'!B182)</f>
        <v/>
      </c>
      <c r="B181" s="174" t="str">
        <f>IF('Sch2a-Imp Price by ECM'!D182="","",'Sch2a-Imp Price by ECM'!D182)</f>
        <v/>
      </c>
      <c r="C181" s="400" t="str">
        <f>IF('Sch2a-Imp Price by ECM'!G182="","",'Sch2a-Imp Price by ECM'!G182)</f>
        <v/>
      </c>
      <c r="D181" s="274"/>
      <c r="E181" s="391"/>
      <c r="F181" s="391"/>
      <c r="G181" s="391"/>
      <c r="H181" s="391"/>
      <c r="I181" s="276"/>
      <c r="J181" s="391"/>
      <c r="K181" s="275"/>
      <c r="L181" s="275"/>
      <c r="M181" s="275"/>
      <c r="N181" s="276"/>
      <c r="O181" s="391"/>
      <c r="P181" s="275"/>
      <c r="Q181" s="392"/>
      <c r="R181" s="275"/>
      <c r="S181" s="392"/>
      <c r="T181" s="393"/>
      <c r="U181" s="392"/>
      <c r="V181" s="393"/>
      <c r="W181" s="394"/>
      <c r="X181" s="393"/>
      <c r="Y181" s="390">
        <f t="shared" si="12"/>
        <v>0</v>
      </c>
      <c r="Z181" s="16">
        <f t="shared" si="9"/>
        <v>0</v>
      </c>
      <c r="AA181" s="392"/>
      <c r="AB181" s="393"/>
      <c r="AC181" s="393"/>
      <c r="AD181" s="393"/>
      <c r="AE181" s="139">
        <f t="shared" si="10"/>
        <v>0</v>
      </c>
      <c r="AF181" s="139" t="str">
        <f>IF('Sch2a-Imp Price by ECM'!C182="Yes", 0, 'Sch2a-Imp Price by ECM'!L182)</f>
        <v/>
      </c>
      <c r="AG181" s="159" t="str">
        <f t="shared" si="11"/>
        <v/>
      </c>
      <c r="AH181" s="4" t="str">
        <f>IF('Sch2a-Imp Price by ECM'!M182="","",'Sch2a-Imp Price by ECM'!M182)</f>
        <v/>
      </c>
    </row>
    <row r="182" spans="1:34" ht="17" thickBot="1">
      <c r="A182" s="75" t="str">
        <f>IF('Sch2a-Imp Price by ECM'!B183="","",'Sch2a-Imp Price by ECM'!B183)</f>
        <v/>
      </c>
      <c r="B182" s="174" t="str">
        <f>IF('Sch2a-Imp Price by ECM'!D183="","",'Sch2a-Imp Price by ECM'!D183)</f>
        <v/>
      </c>
      <c r="C182" s="400" t="str">
        <f>IF('Sch2a-Imp Price by ECM'!G183="","",'Sch2a-Imp Price by ECM'!G183)</f>
        <v/>
      </c>
      <c r="D182" s="274"/>
      <c r="E182" s="391"/>
      <c r="F182" s="391"/>
      <c r="G182" s="391"/>
      <c r="H182" s="391"/>
      <c r="I182" s="276"/>
      <c r="J182" s="391"/>
      <c r="K182" s="275"/>
      <c r="L182" s="275"/>
      <c r="M182" s="275"/>
      <c r="N182" s="276"/>
      <c r="O182" s="391"/>
      <c r="P182" s="275"/>
      <c r="Q182" s="392"/>
      <c r="R182" s="275"/>
      <c r="S182" s="392"/>
      <c r="T182" s="393"/>
      <c r="U182" s="392"/>
      <c r="V182" s="393"/>
      <c r="W182" s="394"/>
      <c r="X182" s="393"/>
      <c r="Y182" s="390">
        <f t="shared" si="12"/>
        <v>0</v>
      </c>
      <c r="Z182" s="16">
        <f t="shared" si="9"/>
        <v>0</v>
      </c>
      <c r="AA182" s="392"/>
      <c r="AB182" s="393"/>
      <c r="AC182" s="393"/>
      <c r="AD182" s="393"/>
      <c r="AE182" s="139">
        <f t="shared" si="10"/>
        <v>0</v>
      </c>
      <c r="AF182" s="139" t="str">
        <f>IF('Sch2a-Imp Price by ECM'!C183="Yes", 0, 'Sch2a-Imp Price by ECM'!L183)</f>
        <v/>
      </c>
      <c r="AG182" s="159" t="str">
        <f t="shared" si="11"/>
        <v/>
      </c>
      <c r="AH182" s="4" t="str">
        <f>IF('Sch2a-Imp Price by ECM'!M183="","",'Sch2a-Imp Price by ECM'!M183)</f>
        <v/>
      </c>
    </row>
    <row r="183" spans="1:34" ht="17" thickBot="1">
      <c r="A183" s="75" t="str">
        <f>IF('Sch2a-Imp Price by ECM'!B184="","",'Sch2a-Imp Price by ECM'!B184)</f>
        <v/>
      </c>
      <c r="B183" s="174" t="str">
        <f>IF('Sch2a-Imp Price by ECM'!D184="","",'Sch2a-Imp Price by ECM'!D184)</f>
        <v/>
      </c>
      <c r="C183" s="400" t="str">
        <f>IF('Sch2a-Imp Price by ECM'!G184="","",'Sch2a-Imp Price by ECM'!G184)</f>
        <v/>
      </c>
      <c r="D183" s="274"/>
      <c r="E183" s="391"/>
      <c r="F183" s="391"/>
      <c r="G183" s="391"/>
      <c r="H183" s="391"/>
      <c r="I183" s="276"/>
      <c r="J183" s="391"/>
      <c r="K183" s="275"/>
      <c r="L183" s="275"/>
      <c r="M183" s="275"/>
      <c r="N183" s="276"/>
      <c r="O183" s="391"/>
      <c r="P183" s="275"/>
      <c r="Q183" s="392"/>
      <c r="R183" s="275"/>
      <c r="S183" s="392"/>
      <c r="T183" s="393"/>
      <c r="U183" s="392"/>
      <c r="V183" s="393"/>
      <c r="W183" s="394"/>
      <c r="X183" s="393"/>
      <c r="Y183" s="390">
        <f t="shared" si="12"/>
        <v>0</v>
      </c>
      <c r="Z183" s="16">
        <f t="shared" si="9"/>
        <v>0</v>
      </c>
      <c r="AA183" s="392"/>
      <c r="AB183" s="393"/>
      <c r="AC183" s="393"/>
      <c r="AD183" s="393"/>
      <c r="AE183" s="139">
        <f t="shared" si="10"/>
        <v>0</v>
      </c>
      <c r="AF183" s="139" t="str">
        <f>IF('Sch2a-Imp Price by ECM'!C184="Yes", 0, 'Sch2a-Imp Price by ECM'!L184)</f>
        <v/>
      </c>
      <c r="AG183" s="159" t="str">
        <f t="shared" si="11"/>
        <v/>
      </c>
      <c r="AH183" s="4" t="str">
        <f>IF('Sch2a-Imp Price by ECM'!M184="","",'Sch2a-Imp Price by ECM'!M184)</f>
        <v/>
      </c>
    </row>
    <row r="184" spans="1:34" ht="17" thickBot="1">
      <c r="A184" s="75" t="str">
        <f>IF('Sch2a-Imp Price by ECM'!B185="","",'Sch2a-Imp Price by ECM'!B185)</f>
        <v/>
      </c>
      <c r="B184" s="174" t="str">
        <f>IF('Sch2a-Imp Price by ECM'!D185="","",'Sch2a-Imp Price by ECM'!D185)</f>
        <v/>
      </c>
      <c r="C184" s="400" t="str">
        <f>IF('Sch2a-Imp Price by ECM'!G185="","",'Sch2a-Imp Price by ECM'!G185)</f>
        <v/>
      </c>
      <c r="D184" s="274"/>
      <c r="E184" s="391"/>
      <c r="F184" s="391"/>
      <c r="G184" s="391"/>
      <c r="H184" s="391"/>
      <c r="I184" s="276"/>
      <c r="J184" s="391"/>
      <c r="K184" s="275"/>
      <c r="L184" s="275"/>
      <c r="M184" s="275"/>
      <c r="N184" s="269"/>
      <c r="O184" s="391"/>
      <c r="P184" s="275"/>
      <c r="Q184" s="392"/>
      <c r="R184" s="275"/>
      <c r="S184" s="392"/>
      <c r="T184" s="393"/>
      <c r="U184" s="392"/>
      <c r="V184" s="393"/>
      <c r="W184" s="394"/>
      <c r="X184" s="393"/>
      <c r="Y184" s="390">
        <f t="shared" si="12"/>
        <v>0</v>
      </c>
      <c r="Z184" s="16">
        <f t="shared" si="9"/>
        <v>0</v>
      </c>
      <c r="AA184" s="392"/>
      <c r="AB184" s="393"/>
      <c r="AC184" s="393"/>
      <c r="AD184" s="393"/>
      <c r="AE184" s="139">
        <f t="shared" si="10"/>
        <v>0</v>
      </c>
      <c r="AF184" s="139" t="str">
        <f>IF('Sch2a-Imp Price by ECM'!C185="Yes", 0, 'Sch2a-Imp Price by ECM'!L185)</f>
        <v/>
      </c>
      <c r="AG184" s="159" t="str">
        <f t="shared" si="11"/>
        <v/>
      </c>
      <c r="AH184" s="4" t="str">
        <f>IF('Sch2a-Imp Price by ECM'!M185="","",'Sch2a-Imp Price by ECM'!M185)</f>
        <v/>
      </c>
    </row>
    <row r="185" spans="1:34" ht="17" thickBot="1">
      <c r="A185" s="75" t="str">
        <f>IF('Sch2a-Imp Price by ECM'!B186="","",'Sch2a-Imp Price by ECM'!B186)</f>
        <v/>
      </c>
      <c r="B185" s="174" t="str">
        <f>IF('Sch2a-Imp Price by ECM'!D186="","",'Sch2a-Imp Price by ECM'!D186)</f>
        <v/>
      </c>
      <c r="C185" s="400" t="str">
        <f>IF('Sch2a-Imp Price by ECM'!G186="","",'Sch2a-Imp Price by ECM'!G186)</f>
        <v/>
      </c>
      <c r="D185" s="274"/>
      <c r="E185" s="391"/>
      <c r="F185" s="391"/>
      <c r="G185" s="391"/>
      <c r="H185" s="391"/>
      <c r="I185" s="276"/>
      <c r="J185" s="391"/>
      <c r="K185" s="275"/>
      <c r="L185" s="275"/>
      <c r="M185" s="275"/>
      <c r="N185" s="269"/>
      <c r="O185" s="391"/>
      <c r="P185" s="275"/>
      <c r="Q185" s="392"/>
      <c r="R185" s="275"/>
      <c r="S185" s="392"/>
      <c r="T185" s="393"/>
      <c r="U185" s="392"/>
      <c r="V185" s="393"/>
      <c r="W185" s="394"/>
      <c r="X185" s="393"/>
      <c r="Y185" s="390">
        <f t="shared" si="12"/>
        <v>0</v>
      </c>
      <c r="Z185" s="16">
        <f t="shared" si="9"/>
        <v>0</v>
      </c>
      <c r="AA185" s="392"/>
      <c r="AB185" s="393"/>
      <c r="AC185" s="393"/>
      <c r="AD185" s="393"/>
      <c r="AE185" s="139">
        <f t="shared" si="10"/>
        <v>0</v>
      </c>
      <c r="AF185" s="139" t="str">
        <f>IF('Sch2a-Imp Price by ECM'!C186="Yes", 0, 'Sch2a-Imp Price by ECM'!L186)</f>
        <v/>
      </c>
      <c r="AG185" s="159" t="str">
        <f t="shared" si="11"/>
        <v/>
      </c>
      <c r="AH185" s="4" t="str">
        <f>IF('Sch2a-Imp Price by ECM'!M186="","",'Sch2a-Imp Price by ECM'!M186)</f>
        <v/>
      </c>
    </row>
    <row r="186" spans="1:34" ht="17" thickBot="1">
      <c r="A186" s="75" t="str">
        <f>IF('Sch2a-Imp Price by ECM'!B187="","",'Sch2a-Imp Price by ECM'!B187)</f>
        <v/>
      </c>
      <c r="B186" s="174" t="str">
        <f>IF('Sch2a-Imp Price by ECM'!D187="","",'Sch2a-Imp Price by ECM'!D187)</f>
        <v/>
      </c>
      <c r="C186" s="400" t="str">
        <f>IF('Sch2a-Imp Price by ECM'!G187="","",'Sch2a-Imp Price by ECM'!G187)</f>
        <v/>
      </c>
      <c r="D186" s="274"/>
      <c r="E186" s="391"/>
      <c r="F186" s="391"/>
      <c r="G186" s="391"/>
      <c r="H186" s="391"/>
      <c r="I186" s="276"/>
      <c r="J186" s="391"/>
      <c r="K186" s="275"/>
      <c r="L186" s="275"/>
      <c r="M186" s="275"/>
      <c r="N186" s="269"/>
      <c r="O186" s="391"/>
      <c r="P186" s="275"/>
      <c r="Q186" s="392"/>
      <c r="R186" s="275"/>
      <c r="S186" s="392"/>
      <c r="T186" s="393"/>
      <c r="U186" s="392"/>
      <c r="V186" s="393"/>
      <c r="W186" s="394"/>
      <c r="X186" s="393"/>
      <c r="Y186" s="390">
        <f t="shared" si="12"/>
        <v>0</v>
      </c>
      <c r="Z186" s="16">
        <f t="shared" si="9"/>
        <v>0</v>
      </c>
      <c r="AA186" s="392"/>
      <c r="AB186" s="393"/>
      <c r="AC186" s="393"/>
      <c r="AD186" s="393"/>
      <c r="AE186" s="139">
        <f t="shared" si="10"/>
        <v>0</v>
      </c>
      <c r="AF186" s="139" t="str">
        <f>IF('Sch2a-Imp Price by ECM'!C187="Yes", 0, 'Sch2a-Imp Price by ECM'!L187)</f>
        <v/>
      </c>
      <c r="AG186" s="159" t="str">
        <f t="shared" si="11"/>
        <v/>
      </c>
      <c r="AH186" s="4" t="str">
        <f>IF('Sch2a-Imp Price by ECM'!M187="","",'Sch2a-Imp Price by ECM'!M187)</f>
        <v/>
      </c>
    </row>
    <row r="187" spans="1:34" ht="17" thickBot="1">
      <c r="A187" s="75" t="str">
        <f>IF('Sch2a-Imp Price by ECM'!B188="","",'Sch2a-Imp Price by ECM'!B188)</f>
        <v/>
      </c>
      <c r="B187" s="174" t="str">
        <f>IF('Sch2a-Imp Price by ECM'!D188="","",'Sch2a-Imp Price by ECM'!D188)</f>
        <v/>
      </c>
      <c r="C187" s="400" t="str">
        <f>IF('Sch2a-Imp Price by ECM'!G188="","",'Sch2a-Imp Price by ECM'!G188)</f>
        <v/>
      </c>
      <c r="D187" s="274"/>
      <c r="E187" s="391"/>
      <c r="F187" s="391"/>
      <c r="G187" s="391"/>
      <c r="H187" s="391"/>
      <c r="I187" s="276"/>
      <c r="J187" s="391"/>
      <c r="K187" s="275"/>
      <c r="L187" s="275"/>
      <c r="M187" s="275"/>
      <c r="N187" s="269"/>
      <c r="O187" s="391"/>
      <c r="P187" s="275"/>
      <c r="Q187" s="392"/>
      <c r="R187" s="275"/>
      <c r="S187" s="392"/>
      <c r="T187" s="393"/>
      <c r="U187" s="392"/>
      <c r="V187" s="393"/>
      <c r="W187" s="394"/>
      <c r="X187" s="393"/>
      <c r="Y187" s="390">
        <f t="shared" si="12"/>
        <v>0</v>
      </c>
      <c r="Z187" s="16">
        <f t="shared" si="9"/>
        <v>0</v>
      </c>
      <c r="AA187" s="392"/>
      <c r="AB187" s="393"/>
      <c r="AC187" s="393"/>
      <c r="AD187" s="393"/>
      <c r="AE187" s="139">
        <f t="shared" si="10"/>
        <v>0</v>
      </c>
      <c r="AF187" s="139" t="str">
        <f>IF('Sch2a-Imp Price by ECM'!C188="Yes", 0, 'Sch2a-Imp Price by ECM'!L188)</f>
        <v/>
      </c>
      <c r="AG187" s="159" t="str">
        <f t="shared" si="11"/>
        <v/>
      </c>
      <c r="AH187" s="4" t="str">
        <f>IF('Sch2a-Imp Price by ECM'!M188="","",'Sch2a-Imp Price by ECM'!M188)</f>
        <v/>
      </c>
    </row>
    <row r="188" spans="1:34" ht="17" thickBot="1">
      <c r="A188" s="75" t="str">
        <f>IF('Sch2a-Imp Price by ECM'!B189="","",'Sch2a-Imp Price by ECM'!B189)</f>
        <v/>
      </c>
      <c r="B188" s="174" t="str">
        <f>IF('Sch2a-Imp Price by ECM'!D189="","",'Sch2a-Imp Price by ECM'!D189)</f>
        <v/>
      </c>
      <c r="C188" s="400" t="str">
        <f>IF('Sch2a-Imp Price by ECM'!G189="","",'Sch2a-Imp Price by ECM'!G189)</f>
        <v/>
      </c>
      <c r="D188" s="274"/>
      <c r="E188" s="391"/>
      <c r="F188" s="391"/>
      <c r="G188" s="391"/>
      <c r="H188" s="391"/>
      <c r="I188" s="276"/>
      <c r="J188" s="391"/>
      <c r="K188" s="275"/>
      <c r="L188" s="275"/>
      <c r="M188" s="275"/>
      <c r="N188" s="269"/>
      <c r="O188" s="391"/>
      <c r="P188" s="275"/>
      <c r="Q188" s="392"/>
      <c r="R188" s="275"/>
      <c r="S188" s="392"/>
      <c r="T188" s="393"/>
      <c r="U188" s="392"/>
      <c r="V188" s="393"/>
      <c r="W188" s="394"/>
      <c r="X188" s="393"/>
      <c r="Y188" s="390">
        <f t="shared" si="12"/>
        <v>0</v>
      </c>
      <c r="Z188" s="16">
        <f t="shared" si="9"/>
        <v>0</v>
      </c>
      <c r="AA188" s="392"/>
      <c r="AB188" s="393"/>
      <c r="AC188" s="393"/>
      <c r="AD188" s="393"/>
      <c r="AE188" s="139">
        <f t="shared" si="10"/>
        <v>0</v>
      </c>
      <c r="AF188" s="139" t="str">
        <f>IF('Sch2a-Imp Price by ECM'!C189="Yes", 0, 'Sch2a-Imp Price by ECM'!L189)</f>
        <v/>
      </c>
      <c r="AG188" s="159" t="str">
        <f t="shared" si="11"/>
        <v/>
      </c>
      <c r="AH188" s="4" t="str">
        <f>IF('Sch2a-Imp Price by ECM'!M189="","",'Sch2a-Imp Price by ECM'!M189)</f>
        <v/>
      </c>
    </row>
    <row r="189" spans="1:34" ht="17" thickBot="1">
      <c r="A189" s="75" t="str">
        <f>IF('Sch2a-Imp Price by ECM'!B190="","",'Sch2a-Imp Price by ECM'!B190)</f>
        <v/>
      </c>
      <c r="B189" s="174" t="str">
        <f>IF('Sch2a-Imp Price by ECM'!D190="","",'Sch2a-Imp Price by ECM'!D190)</f>
        <v/>
      </c>
      <c r="C189" s="400" t="str">
        <f>IF('Sch2a-Imp Price by ECM'!G190="","",'Sch2a-Imp Price by ECM'!G190)</f>
        <v/>
      </c>
      <c r="D189" s="274"/>
      <c r="E189" s="391"/>
      <c r="F189" s="391"/>
      <c r="G189" s="391"/>
      <c r="H189" s="391"/>
      <c r="I189" s="276"/>
      <c r="J189" s="391"/>
      <c r="K189" s="275"/>
      <c r="L189" s="275"/>
      <c r="M189" s="275"/>
      <c r="N189" s="269"/>
      <c r="O189" s="391"/>
      <c r="P189" s="275"/>
      <c r="Q189" s="392"/>
      <c r="R189" s="275"/>
      <c r="S189" s="392"/>
      <c r="T189" s="393"/>
      <c r="U189" s="392"/>
      <c r="V189" s="393"/>
      <c r="W189" s="394"/>
      <c r="X189" s="393"/>
      <c r="Y189" s="390">
        <f t="shared" si="12"/>
        <v>0</v>
      </c>
      <c r="Z189" s="16">
        <f t="shared" si="9"/>
        <v>0</v>
      </c>
      <c r="AA189" s="392"/>
      <c r="AB189" s="393"/>
      <c r="AC189" s="393"/>
      <c r="AD189" s="393"/>
      <c r="AE189" s="139">
        <f t="shared" si="10"/>
        <v>0</v>
      </c>
      <c r="AF189" s="139" t="str">
        <f>IF('Sch2a-Imp Price by ECM'!C190="Yes", 0, 'Sch2a-Imp Price by ECM'!L190)</f>
        <v/>
      </c>
      <c r="AG189" s="159" t="str">
        <f t="shared" si="11"/>
        <v/>
      </c>
      <c r="AH189" s="4" t="str">
        <f>IF('Sch2a-Imp Price by ECM'!M190="","",'Sch2a-Imp Price by ECM'!M190)</f>
        <v/>
      </c>
    </row>
    <row r="190" spans="1:34" ht="17" thickBot="1">
      <c r="A190" s="75" t="str">
        <f>IF('Sch2a-Imp Price by ECM'!B191="","",'Sch2a-Imp Price by ECM'!B191)</f>
        <v/>
      </c>
      <c r="B190" s="174" t="str">
        <f>IF('Sch2a-Imp Price by ECM'!D191="","",'Sch2a-Imp Price by ECM'!D191)</f>
        <v/>
      </c>
      <c r="C190" s="400" t="str">
        <f>IF('Sch2a-Imp Price by ECM'!G191="","",'Sch2a-Imp Price by ECM'!G191)</f>
        <v/>
      </c>
      <c r="D190" s="274"/>
      <c r="E190" s="391"/>
      <c r="F190" s="391"/>
      <c r="G190" s="391"/>
      <c r="H190" s="391"/>
      <c r="I190" s="276"/>
      <c r="J190" s="391"/>
      <c r="K190" s="275"/>
      <c r="L190" s="275"/>
      <c r="M190" s="275"/>
      <c r="N190" s="269"/>
      <c r="O190" s="391"/>
      <c r="P190" s="275"/>
      <c r="Q190" s="392"/>
      <c r="R190" s="275"/>
      <c r="S190" s="392"/>
      <c r="T190" s="393"/>
      <c r="U190" s="392"/>
      <c r="V190" s="393"/>
      <c r="W190" s="394"/>
      <c r="X190" s="393"/>
      <c r="Y190" s="390">
        <f t="shared" si="12"/>
        <v>0</v>
      </c>
      <c r="Z190" s="16">
        <f t="shared" si="9"/>
        <v>0</v>
      </c>
      <c r="AA190" s="392"/>
      <c r="AB190" s="393"/>
      <c r="AC190" s="393"/>
      <c r="AD190" s="393"/>
      <c r="AE190" s="139">
        <f t="shared" si="10"/>
        <v>0</v>
      </c>
      <c r="AF190" s="139" t="str">
        <f>IF('Sch2a-Imp Price by ECM'!C191="Yes", 0, 'Sch2a-Imp Price by ECM'!L191)</f>
        <v/>
      </c>
      <c r="AG190" s="159" t="str">
        <f t="shared" si="11"/>
        <v/>
      </c>
      <c r="AH190" s="4" t="str">
        <f>IF('Sch2a-Imp Price by ECM'!M191="","",'Sch2a-Imp Price by ECM'!M191)</f>
        <v/>
      </c>
    </row>
    <row r="191" spans="1:34" ht="17" thickBot="1">
      <c r="A191" s="75" t="str">
        <f>IF('Sch2a-Imp Price by ECM'!B192="","",'Sch2a-Imp Price by ECM'!B192)</f>
        <v/>
      </c>
      <c r="B191" s="174" t="str">
        <f>IF('Sch2a-Imp Price by ECM'!D192="","",'Sch2a-Imp Price by ECM'!D192)</f>
        <v/>
      </c>
      <c r="C191" s="400" t="str">
        <f>IF('Sch2a-Imp Price by ECM'!G192="","",'Sch2a-Imp Price by ECM'!G192)</f>
        <v/>
      </c>
      <c r="D191" s="274"/>
      <c r="E191" s="391"/>
      <c r="F191" s="391"/>
      <c r="G191" s="391"/>
      <c r="H191" s="391"/>
      <c r="I191" s="276"/>
      <c r="J191" s="391"/>
      <c r="K191" s="275"/>
      <c r="L191" s="275"/>
      <c r="M191" s="275"/>
      <c r="N191" s="269"/>
      <c r="O191" s="391"/>
      <c r="P191" s="275"/>
      <c r="Q191" s="392"/>
      <c r="R191" s="275"/>
      <c r="S191" s="392"/>
      <c r="T191" s="393"/>
      <c r="U191" s="392"/>
      <c r="V191" s="393"/>
      <c r="W191" s="394"/>
      <c r="X191" s="393"/>
      <c r="Y191" s="390">
        <f t="shared" si="12"/>
        <v>0</v>
      </c>
      <c r="Z191" s="16">
        <f t="shared" si="9"/>
        <v>0</v>
      </c>
      <c r="AA191" s="392"/>
      <c r="AB191" s="393"/>
      <c r="AC191" s="393"/>
      <c r="AD191" s="393"/>
      <c r="AE191" s="139">
        <f t="shared" si="10"/>
        <v>0</v>
      </c>
      <c r="AF191" s="139" t="str">
        <f>IF('Sch2a-Imp Price by ECM'!C192="Yes", 0, 'Sch2a-Imp Price by ECM'!L192)</f>
        <v/>
      </c>
      <c r="AG191" s="159" t="str">
        <f t="shared" si="11"/>
        <v/>
      </c>
      <c r="AH191" s="4" t="str">
        <f>IF('Sch2a-Imp Price by ECM'!M192="","",'Sch2a-Imp Price by ECM'!M192)</f>
        <v/>
      </c>
    </row>
    <row r="192" spans="1:34" ht="17" thickBot="1">
      <c r="A192" s="75" t="str">
        <f>IF('Sch2a-Imp Price by ECM'!B193="","",'Sch2a-Imp Price by ECM'!B193)</f>
        <v/>
      </c>
      <c r="B192" s="174" t="str">
        <f>IF('Sch2a-Imp Price by ECM'!D193="","",'Sch2a-Imp Price by ECM'!D193)</f>
        <v/>
      </c>
      <c r="C192" s="400" t="str">
        <f>IF('Sch2a-Imp Price by ECM'!G193="","",'Sch2a-Imp Price by ECM'!G193)</f>
        <v/>
      </c>
      <c r="D192" s="274"/>
      <c r="E192" s="391"/>
      <c r="F192" s="391"/>
      <c r="G192" s="391"/>
      <c r="H192" s="391"/>
      <c r="I192" s="276"/>
      <c r="J192" s="391"/>
      <c r="K192" s="275"/>
      <c r="L192" s="275"/>
      <c r="M192" s="275"/>
      <c r="N192" s="269"/>
      <c r="O192" s="391"/>
      <c r="P192" s="275"/>
      <c r="Q192" s="392"/>
      <c r="R192" s="275"/>
      <c r="S192" s="392"/>
      <c r="T192" s="393"/>
      <c r="U192" s="392"/>
      <c r="V192" s="393"/>
      <c r="W192" s="394"/>
      <c r="X192" s="393"/>
      <c r="Y192" s="390">
        <f t="shared" si="12"/>
        <v>0</v>
      </c>
      <c r="Z192" s="16">
        <f t="shared" si="9"/>
        <v>0</v>
      </c>
      <c r="AA192" s="392"/>
      <c r="AB192" s="393"/>
      <c r="AC192" s="393"/>
      <c r="AD192" s="393"/>
      <c r="AE192" s="139">
        <f t="shared" si="10"/>
        <v>0</v>
      </c>
      <c r="AF192" s="139" t="str">
        <f>IF('Sch2a-Imp Price by ECM'!C193="Yes", 0, 'Sch2a-Imp Price by ECM'!L193)</f>
        <v/>
      </c>
      <c r="AG192" s="159" t="str">
        <f t="shared" si="11"/>
        <v/>
      </c>
      <c r="AH192" s="4" t="str">
        <f>IF('Sch2a-Imp Price by ECM'!M193="","",'Sch2a-Imp Price by ECM'!M193)</f>
        <v/>
      </c>
    </row>
    <row r="193" spans="1:34" ht="17" thickBot="1">
      <c r="A193" s="75" t="str">
        <f>IF('Sch2a-Imp Price by ECM'!B194="","",'Sch2a-Imp Price by ECM'!B194)</f>
        <v/>
      </c>
      <c r="B193" s="174" t="str">
        <f>IF('Sch2a-Imp Price by ECM'!D194="","",'Sch2a-Imp Price by ECM'!D194)</f>
        <v/>
      </c>
      <c r="C193" s="400" t="str">
        <f>IF('Sch2a-Imp Price by ECM'!G194="","",'Sch2a-Imp Price by ECM'!G194)</f>
        <v/>
      </c>
      <c r="D193" s="274"/>
      <c r="E193" s="391"/>
      <c r="F193" s="391"/>
      <c r="G193" s="391"/>
      <c r="H193" s="391"/>
      <c r="I193" s="276"/>
      <c r="J193" s="391"/>
      <c r="K193" s="275"/>
      <c r="L193" s="275"/>
      <c r="M193" s="275"/>
      <c r="N193" s="269"/>
      <c r="O193" s="391"/>
      <c r="P193" s="275"/>
      <c r="Q193" s="392"/>
      <c r="R193" s="275"/>
      <c r="S193" s="392"/>
      <c r="T193" s="393"/>
      <c r="U193" s="392"/>
      <c r="V193" s="393"/>
      <c r="W193" s="394"/>
      <c r="X193" s="393"/>
      <c r="Y193" s="390">
        <f t="shared" si="12"/>
        <v>0</v>
      </c>
      <c r="Z193" s="16">
        <f t="shared" si="9"/>
        <v>0</v>
      </c>
      <c r="AA193" s="392"/>
      <c r="AB193" s="393"/>
      <c r="AC193" s="393"/>
      <c r="AD193" s="393"/>
      <c r="AE193" s="139">
        <f t="shared" si="10"/>
        <v>0</v>
      </c>
      <c r="AF193" s="139" t="str">
        <f>IF('Sch2a-Imp Price by ECM'!C194="Yes", 0, 'Sch2a-Imp Price by ECM'!L194)</f>
        <v/>
      </c>
      <c r="AG193" s="159" t="str">
        <f t="shared" si="11"/>
        <v/>
      </c>
      <c r="AH193" s="4" t="str">
        <f>IF('Sch2a-Imp Price by ECM'!M194="","",'Sch2a-Imp Price by ECM'!M194)</f>
        <v/>
      </c>
    </row>
    <row r="194" spans="1:34" ht="17" thickBot="1">
      <c r="A194" s="75" t="str">
        <f>IF('Sch2a-Imp Price by ECM'!B195="","",'Sch2a-Imp Price by ECM'!B195)</f>
        <v/>
      </c>
      <c r="B194" s="174" t="str">
        <f>IF('Sch2a-Imp Price by ECM'!D195="","",'Sch2a-Imp Price by ECM'!D195)</f>
        <v/>
      </c>
      <c r="C194" s="400" t="str">
        <f>IF('Sch2a-Imp Price by ECM'!G195="","",'Sch2a-Imp Price by ECM'!G195)</f>
        <v/>
      </c>
      <c r="D194" s="274"/>
      <c r="E194" s="391"/>
      <c r="F194" s="391"/>
      <c r="G194" s="391"/>
      <c r="H194" s="391"/>
      <c r="I194" s="276"/>
      <c r="J194" s="391"/>
      <c r="K194" s="275"/>
      <c r="L194" s="275"/>
      <c r="M194" s="275"/>
      <c r="N194" s="269"/>
      <c r="O194" s="391"/>
      <c r="P194" s="275"/>
      <c r="Q194" s="392"/>
      <c r="R194" s="275"/>
      <c r="S194" s="392"/>
      <c r="T194" s="393"/>
      <c r="U194" s="392"/>
      <c r="V194" s="393"/>
      <c r="W194" s="394"/>
      <c r="X194" s="393"/>
      <c r="Y194" s="390">
        <f t="shared" si="12"/>
        <v>0</v>
      </c>
      <c r="Z194" s="16">
        <f t="shared" si="9"/>
        <v>0</v>
      </c>
      <c r="AA194" s="392"/>
      <c r="AB194" s="393"/>
      <c r="AC194" s="393"/>
      <c r="AD194" s="393"/>
      <c r="AE194" s="139">
        <f t="shared" si="10"/>
        <v>0</v>
      </c>
      <c r="AF194" s="139" t="str">
        <f>IF('Sch2a-Imp Price by ECM'!C195="Yes", 0, 'Sch2a-Imp Price by ECM'!L195)</f>
        <v/>
      </c>
      <c r="AG194" s="159" t="str">
        <f t="shared" si="11"/>
        <v/>
      </c>
      <c r="AH194" s="4" t="str">
        <f>IF('Sch2a-Imp Price by ECM'!M195="","",'Sch2a-Imp Price by ECM'!M195)</f>
        <v/>
      </c>
    </row>
    <row r="195" spans="1:34" ht="17" thickBot="1">
      <c r="A195" s="75" t="str">
        <f>IF('Sch2a-Imp Price by ECM'!B196="","",'Sch2a-Imp Price by ECM'!B196)</f>
        <v/>
      </c>
      <c r="B195" s="174" t="str">
        <f>IF('Sch2a-Imp Price by ECM'!D196="","",'Sch2a-Imp Price by ECM'!D196)</f>
        <v/>
      </c>
      <c r="C195" s="400" t="str">
        <f>IF('Sch2a-Imp Price by ECM'!G196="","",'Sch2a-Imp Price by ECM'!G196)</f>
        <v/>
      </c>
      <c r="D195" s="274"/>
      <c r="E195" s="391"/>
      <c r="F195" s="391"/>
      <c r="G195" s="391"/>
      <c r="H195" s="391"/>
      <c r="I195" s="276"/>
      <c r="J195" s="391"/>
      <c r="K195" s="275"/>
      <c r="L195" s="275"/>
      <c r="M195" s="275"/>
      <c r="N195" s="269"/>
      <c r="O195" s="391"/>
      <c r="P195" s="275"/>
      <c r="Q195" s="392"/>
      <c r="R195" s="275"/>
      <c r="S195" s="392"/>
      <c r="T195" s="393"/>
      <c r="U195" s="392"/>
      <c r="V195" s="393"/>
      <c r="W195" s="394"/>
      <c r="X195" s="393"/>
      <c r="Y195" s="390">
        <f t="shared" si="12"/>
        <v>0</v>
      </c>
      <c r="Z195" s="16">
        <f t="shared" si="9"/>
        <v>0</v>
      </c>
      <c r="AA195" s="392"/>
      <c r="AB195" s="393"/>
      <c r="AC195" s="393"/>
      <c r="AD195" s="393"/>
      <c r="AE195" s="139">
        <f t="shared" si="10"/>
        <v>0</v>
      </c>
      <c r="AF195" s="139" t="str">
        <f>IF('Sch2a-Imp Price by ECM'!C196="Yes", 0, 'Sch2a-Imp Price by ECM'!L196)</f>
        <v/>
      </c>
      <c r="AG195" s="159" t="str">
        <f t="shared" si="11"/>
        <v/>
      </c>
      <c r="AH195" s="4" t="str">
        <f>IF('Sch2a-Imp Price by ECM'!M196="","",'Sch2a-Imp Price by ECM'!M196)</f>
        <v/>
      </c>
    </row>
    <row r="196" spans="1:34" ht="17" thickBot="1">
      <c r="A196" s="75" t="str">
        <f>IF('Sch2a-Imp Price by ECM'!B197="","",'Sch2a-Imp Price by ECM'!B197)</f>
        <v/>
      </c>
      <c r="B196" s="174" t="str">
        <f>IF('Sch2a-Imp Price by ECM'!D197="","",'Sch2a-Imp Price by ECM'!D197)</f>
        <v/>
      </c>
      <c r="C196" s="400" t="str">
        <f>IF('Sch2a-Imp Price by ECM'!G197="","",'Sch2a-Imp Price by ECM'!G197)</f>
        <v/>
      </c>
      <c r="D196" s="274"/>
      <c r="E196" s="391"/>
      <c r="F196" s="391"/>
      <c r="G196" s="391"/>
      <c r="H196" s="391"/>
      <c r="I196" s="276"/>
      <c r="J196" s="391"/>
      <c r="K196" s="275"/>
      <c r="L196" s="275"/>
      <c r="M196" s="275"/>
      <c r="N196" s="269"/>
      <c r="O196" s="391"/>
      <c r="P196" s="275"/>
      <c r="Q196" s="392"/>
      <c r="R196" s="275"/>
      <c r="S196" s="392"/>
      <c r="T196" s="393"/>
      <c r="U196" s="392"/>
      <c r="V196" s="393"/>
      <c r="W196" s="394"/>
      <c r="X196" s="393"/>
      <c r="Y196" s="390">
        <f t="shared" si="12"/>
        <v>0</v>
      </c>
      <c r="Z196" s="16">
        <f t="shared" si="9"/>
        <v>0</v>
      </c>
      <c r="AA196" s="392"/>
      <c r="AB196" s="393"/>
      <c r="AC196" s="393"/>
      <c r="AD196" s="393"/>
      <c r="AE196" s="139">
        <f t="shared" si="10"/>
        <v>0</v>
      </c>
      <c r="AF196" s="139" t="str">
        <f>IF('Sch2a-Imp Price by ECM'!C197="Yes", 0, 'Sch2a-Imp Price by ECM'!L197)</f>
        <v/>
      </c>
      <c r="AG196" s="159" t="str">
        <f t="shared" si="11"/>
        <v/>
      </c>
      <c r="AH196" s="4" t="str">
        <f>IF('Sch2a-Imp Price by ECM'!M197="","",'Sch2a-Imp Price by ECM'!M197)</f>
        <v/>
      </c>
    </row>
    <row r="197" spans="1:34" ht="17" thickBot="1">
      <c r="A197" s="75" t="str">
        <f>IF('Sch2a-Imp Price by ECM'!B198="","",'Sch2a-Imp Price by ECM'!B198)</f>
        <v/>
      </c>
      <c r="B197" s="174" t="str">
        <f>IF('Sch2a-Imp Price by ECM'!D198="","",'Sch2a-Imp Price by ECM'!D198)</f>
        <v/>
      </c>
      <c r="C197" s="400" t="str">
        <f>IF('Sch2a-Imp Price by ECM'!G198="","",'Sch2a-Imp Price by ECM'!G198)</f>
        <v/>
      </c>
      <c r="D197" s="274"/>
      <c r="E197" s="391"/>
      <c r="F197" s="391"/>
      <c r="G197" s="391"/>
      <c r="H197" s="391"/>
      <c r="I197" s="276"/>
      <c r="J197" s="391"/>
      <c r="K197" s="275"/>
      <c r="L197" s="275"/>
      <c r="M197" s="275"/>
      <c r="N197" s="269"/>
      <c r="O197" s="391"/>
      <c r="P197" s="275"/>
      <c r="Q197" s="392"/>
      <c r="R197" s="275"/>
      <c r="S197" s="392"/>
      <c r="T197" s="393"/>
      <c r="U197" s="392"/>
      <c r="V197" s="393"/>
      <c r="W197" s="394"/>
      <c r="X197" s="393"/>
      <c r="Y197" s="390">
        <f t="shared" si="12"/>
        <v>0</v>
      </c>
      <c r="Z197" s="16">
        <f t="shared" si="9"/>
        <v>0</v>
      </c>
      <c r="AA197" s="392"/>
      <c r="AB197" s="393"/>
      <c r="AC197" s="393"/>
      <c r="AD197" s="393"/>
      <c r="AE197" s="139">
        <f t="shared" si="10"/>
        <v>0</v>
      </c>
      <c r="AF197" s="139" t="str">
        <f>IF('Sch2a-Imp Price by ECM'!C198="Yes", 0, 'Sch2a-Imp Price by ECM'!L198)</f>
        <v/>
      </c>
      <c r="AG197" s="159" t="str">
        <f t="shared" si="11"/>
        <v/>
      </c>
      <c r="AH197" s="4" t="str">
        <f>IF('Sch2a-Imp Price by ECM'!M198="","",'Sch2a-Imp Price by ECM'!M198)</f>
        <v/>
      </c>
    </row>
    <row r="198" spans="1:34" ht="17" thickBot="1">
      <c r="A198" s="75" t="str">
        <f>IF('Sch2a-Imp Price by ECM'!B199="","",'Sch2a-Imp Price by ECM'!B199)</f>
        <v/>
      </c>
      <c r="B198" s="174" t="str">
        <f>IF('Sch2a-Imp Price by ECM'!D199="","",'Sch2a-Imp Price by ECM'!D199)</f>
        <v/>
      </c>
      <c r="C198" s="400" t="str">
        <f>IF('Sch2a-Imp Price by ECM'!G199="","",'Sch2a-Imp Price by ECM'!G199)</f>
        <v/>
      </c>
      <c r="D198" s="274"/>
      <c r="E198" s="391"/>
      <c r="F198" s="391"/>
      <c r="G198" s="391"/>
      <c r="H198" s="391"/>
      <c r="I198" s="276"/>
      <c r="J198" s="391"/>
      <c r="K198" s="275"/>
      <c r="L198" s="275"/>
      <c r="M198" s="275"/>
      <c r="N198" s="276"/>
      <c r="O198" s="391"/>
      <c r="P198" s="275"/>
      <c r="Q198" s="392"/>
      <c r="R198" s="275"/>
      <c r="S198" s="392"/>
      <c r="T198" s="393"/>
      <c r="U198" s="392"/>
      <c r="V198" s="393"/>
      <c r="W198" s="394"/>
      <c r="X198" s="393"/>
      <c r="Y198" s="390">
        <f t="shared" si="12"/>
        <v>0</v>
      </c>
      <c r="Z198" s="16">
        <f t="shared" si="9"/>
        <v>0</v>
      </c>
      <c r="AA198" s="392"/>
      <c r="AB198" s="393"/>
      <c r="AC198" s="393"/>
      <c r="AD198" s="393"/>
      <c r="AE198" s="139">
        <f t="shared" si="10"/>
        <v>0</v>
      </c>
      <c r="AF198" s="139" t="str">
        <f>IF('Sch2a-Imp Price by ECM'!C199="Yes", 0, 'Sch2a-Imp Price by ECM'!L199)</f>
        <v/>
      </c>
      <c r="AG198" s="159" t="str">
        <f t="shared" si="11"/>
        <v/>
      </c>
      <c r="AH198" s="4" t="str">
        <f>IF('Sch2a-Imp Price by ECM'!M199="","",'Sch2a-Imp Price by ECM'!M199)</f>
        <v/>
      </c>
    </row>
    <row r="199" spans="1:34" ht="17" thickBot="1">
      <c r="A199" s="75" t="str">
        <f>IF('Sch2a-Imp Price by ECM'!B200="","",'Sch2a-Imp Price by ECM'!B200)</f>
        <v/>
      </c>
      <c r="B199" s="174" t="str">
        <f>IF('Sch2a-Imp Price by ECM'!D200="","",'Sch2a-Imp Price by ECM'!D200)</f>
        <v/>
      </c>
      <c r="C199" s="400" t="str">
        <f>IF('Sch2a-Imp Price by ECM'!G200="","",'Sch2a-Imp Price by ECM'!G200)</f>
        <v/>
      </c>
      <c r="D199" s="274"/>
      <c r="E199" s="391"/>
      <c r="F199" s="391"/>
      <c r="G199" s="391"/>
      <c r="H199" s="391"/>
      <c r="I199" s="276"/>
      <c r="J199" s="391"/>
      <c r="K199" s="275"/>
      <c r="L199" s="275"/>
      <c r="M199" s="275"/>
      <c r="N199" s="276"/>
      <c r="O199" s="391"/>
      <c r="P199" s="275"/>
      <c r="Q199" s="392"/>
      <c r="R199" s="275"/>
      <c r="S199" s="392"/>
      <c r="T199" s="393"/>
      <c r="U199" s="392"/>
      <c r="V199" s="393"/>
      <c r="W199" s="394"/>
      <c r="X199" s="393"/>
      <c r="Y199" s="390">
        <f t="shared" si="12"/>
        <v>0</v>
      </c>
      <c r="Z199" s="16">
        <f t="shared" si="9"/>
        <v>0</v>
      </c>
      <c r="AA199" s="392"/>
      <c r="AB199" s="393"/>
      <c r="AC199" s="393"/>
      <c r="AD199" s="393"/>
      <c r="AE199" s="139">
        <f t="shared" si="10"/>
        <v>0</v>
      </c>
      <c r="AF199" s="139" t="str">
        <f>IF('Sch2a-Imp Price by ECM'!C200="Yes", 0, 'Sch2a-Imp Price by ECM'!L200)</f>
        <v/>
      </c>
      <c r="AG199" s="159" t="str">
        <f t="shared" si="11"/>
        <v/>
      </c>
      <c r="AH199" s="4" t="str">
        <f>IF('Sch2a-Imp Price by ECM'!M200="","",'Sch2a-Imp Price by ECM'!M200)</f>
        <v/>
      </c>
    </row>
    <row r="200" spans="1:34" ht="17" thickBot="1">
      <c r="A200" s="75" t="str">
        <f>IF('Sch2a-Imp Price by ECM'!B201="","",'Sch2a-Imp Price by ECM'!B201)</f>
        <v/>
      </c>
      <c r="B200" s="174" t="str">
        <f>IF('Sch2a-Imp Price by ECM'!D201="","",'Sch2a-Imp Price by ECM'!D201)</f>
        <v/>
      </c>
      <c r="C200" s="400" t="str">
        <f>IF('Sch2a-Imp Price by ECM'!G201="","",'Sch2a-Imp Price by ECM'!G201)</f>
        <v/>
      </c>
      <c r="D200" s="274"/>
      <c r="E200" s="391"/>
      <c r="F200" s="391"/>
      <c r="G200" s="391"/>
      <c r="H200" s="391"/>
      <c r="I200" s="276"/>
      <c r="J200" s="391"/>
      <c r="K200" s="275"/>
      <c r="L200" s="275"/>
      <c r="M200" s="275"/>
      <c r="N200" s="276"/>
      <c r="O200" s="391"/>
      <c r="P200" s="275"/>
      <c r="Q200" s="392"/>
      <c r="R200" s="275"/>
      <c r="S200" s="392"/>
      <c r="T200" s="393"/>
      <c r="U200" s="392"/>
      <c r="V200" s="393"/>
      <c r="W200" s="394"/>
      <c r="X200" s="393"/>
      <c r="Y200" s="390">
        <f t="shared" si="12"/>
        <v>0</v>
      </c>
      <c r="Z200" s="16">
        <f t="shared" si="9"/>
        <v>0</v>
      </c>
      <c r="AA200" s="392"/>
      <c r="AB200" s="393"/>
      <c r="AC200" s="393"/>
      <c r="AD200" s="393"/>
      <c r="AE200" s="139">
        <f t="shared" si="10"/>
        <v>0</v>
      </c>
      <c r="AF200" s="139" t="str">
        <f>IF('Sch2a-Imp Price by ECM'!C201="Yes", 0, 'Sch2a-Imp Price by ECM'!L201)</f>
        <v/>
      </c>
      <c r="AG200" s="159" t="str">
        <f t="shared" si="11"/>
        <v/>
      </c>
      <c r="AH200" s="4" t="str">
        <f>IF('Sch2a-Imp Price by ECM'!M201="","",'Sch2a-Imp Price by ECM'!M201)</f>
        <v/>
      </c>
    </row>
    <row r="201" spans="1:34" ht="17" thickBot="1">
      <c r="A201" s="75" t="str">
        <f>IF('Sch2a-Imp Price by ECM'!B202="","",'Sch2a-Imp Price by ECM'!B202)</f>
        <v/>
      </c>
      <c r="B201" s="174" t="str">
        <f>IF('Sch2a-Imp Price by ECM'!D202="","",'Sch2a-Imp Price by ECM'!D202)</f>
        <v/>
      </c>
      <c r="C201" s="400" t="str">
        <f>IF('Sch2a-Imp Price by ECM'!G202="","",'Sch2a-Imp Price by ECM'!G202)</f>
        <v/>
      </c>
      <c r="D201" s="274"/>
      <c r="E201" s="391"/>
      <c r="F201" s="391"/>
      <c r="G201" s="391"/>
      <c r="H201" s="391"/>
      <c r="I201" s="276"/>
      <c r="J201" s="391"/>
      <c r="K201" s="275"/>
      <c r="L201" s="275"/>
      <c r="M201" s="275"/>
      <c r="N201" s="276"/>
      <c r="O201" s="391"/>
      <c r="P201" s="275"/>
      <c r="Q201" s="392"/>
      <c r="R201" s="275"/>
      <c r="S201" s="392"/>
      <c r="T201" s="393"/>
      <c r="U201" s="392"/>
      <c r="V201" s="393"/>
      <c r="W201" s="394"/>
      <c r="X201" s="393"/>
      <c r="Y201" s="390">
        <f t="shared" si="12"/>
        <v>0</v>
      </c>
      <c r="Z201" s="16">
        <f t="shared" ref="Z201:Z257" si="13">P201+R201+V201+X201+T201</f>
        <v>0</v>
      </c>
      <c r="AA201" s="392"/>
      <c r="AB201" s="393"/>
      <c r="AC201" s="393"/>
      <c r="AD201" s="393"/>
      <c r="AE201" s="139">
        <f t="shared" ref="AE201:AE257" si="14">Z201+AB201+AC201+AD201</f>
        <v>0</v>
      </c>
      <c r="AF201" s="139" t="str">
        <f>IF('Sch2a-Imp Price by ECM'!C202="Yes", 0, 'Sch2a-Imp Price by ECM'!L202)</f>
        <v/>
      </c>
      <c r="AG201" s="159" t="str">
        <f t="shared" ref="AG201:AG258" si="15">IF(AF201="","",AF201/AE201)</f>
        <v/>
      </c>
      <c r="AH201" s="4" t="str">
        <f>IF('Sch2a-Imp Price by ECM'!M202="","",'Sch2a-Imp Price by ECM'!M202)</f>
        <v/>
      </c>
    </row>
    <row r="202" spans="1:34" ht="18" customHeight="1" thickBot="1">
      <c r="A202" s="75" t="str">
        <f>IF('Sch2a-Imp Price by ECM'!B203="","",'Sch2a-Imp Price by ECM'!B203)</f>
        <v/>
      </c>
      <c r="B202" s="174" t="str">
        <f>IF('Sch2a-Imp Price by ECM'!D203="","",'Sch2a-Imp Price by ECM'!D203)</f>
        <v/>
      </c>
      <c r="C202" s="400" t="str">
        <f>IF('Sch2a-Imp Price by ECM'!G203="","",'Sch2a-Imp Price by ECM'!G203)</f>
        <v/>
      </c>
      <c r="D202" s="274"/>
      <c r="E202" s="391"/>
      <c r="F202" s="391"/>
      <c r="G202" s="391"/>
      <c r="H202" s="391"/>
      <c r="I202" s="276"/>
      <c r="J202" s="391"/>
      <c r="K202" s="275"/>
      <c r="L202" s="275"/>
      <c r="M202" s="275"/>
      <c r="N202" s="276"/>
      <c r="O202" s="391"/>
      <c r="P202" s="275"/>
      <c r="Q202" s="392"/>
      <c r="R202" s="275"/>
      <c r="S202" s="392"/>
      <c r="T202" s="393"/>
      <c r="U202" s="392"/>
      <c r="V202" s="393"/>
      <c r="W202" s="394"/>
      <c r="X202" s="393"/>
      <c r="Y202" s="390">
        <f t="shared" si="12"/>
        <v>0</v>
      </c>
      <c r="Z202" s="16">
        <f t="shared" si="13"/>
        <v>0</v>
      </c>
      <c r="AA202" s="392"/>
      <c r="AB202" s="393"/>
      <c r="AC202" s="393"/>
      <c r="AD202" s="393"/>
      <c r="AE202" s="139">
        <f t="shared" si="14"/>
        <v>0</v>
      </c>
      <c r="AF202" s="139" t="str">
        <f>IF('Sch2a-Imp Price by ECM'!C203="Yes", 0, 'Sch2a-Imp Price by ECM'!L203)</f>
        <v/>
      </c>
      <c r="AG202" s="159" t="str">
        <f t="shared" si="15"/>
        <v/>
      </c>
      <c r="AH202" s="4" t="str">
        <f>IF('Sch2a-Imp Price by ECM'!M203="","",'Sch2a-Imp Price by ECM'!M203)</f>
        <v/>
      </c>
    </row>
    <row r="203" spans="1:34" ht="17" thickBot="1">
      <c r="A203" s="75" t="str">
        <f>IF('Sch2a-Imp Price by ECM'!B204="","",'Sch2a-Imp Price by ECM'!B204)</f>
        <v/>
      </c>
      <c r="B203" s="174" t="str">
        <f>IF('Sch2a-Imp Price by ECM'!D204="","",'Sch2a-Imp Price by ECM'!D204)</f>
        <v/>
      </c>
      <c r="C203" s="400" t="str">
        <f>IF('Sch2a-Imp Price by ECM'!G204="","",'Sch2a-Imp Price by ECM'!G204)</f>
        <v/>
      </c>
      <c r="D203" s="274"/>
      <c r="E203" s="391"/>
      <c r="F203" s="391"/>
      <c r="G203" s="391"/>
      <c r="H203" s="391"/>
      <c r="I203" s="276"/>
      <c r="J203" s="391"/>
      <c r="K203" s="275"/>
      <c r="L203" s="275"/>
      <c r="M203" s="275"/>
      <c r="N203" s="276"/>
      <c r="O203" s="391"/>
      <c r="P203" s="275"/>
      <c r="Q203" s="392"/>
      <c r="R203" s="275"/>
      <c r="S203" s="392"/>
      <c r="T203" s="393"/>
      <c r="U203" s="392"/>
      <c r="V203" s="393"/>
      <c r="W203" s="394"/>
      <c r="X203" s="393"/>
      <c r="Y203" s="390">
        <f t="shared" ref="Y203:Y257" si="16">(O203*3412/10^6)+S203+U203+W203</f>
        <v>0</v>
      </c>
      <c r="Z203" s="16">
        <f t="shared" si="13"/>
        <v>0</v>
      </c>
      <c r="AA203" s="392"/>
      <c r="AB203" s="393"/>
      <c r="AC203" s="393"/>
      <c r="AD203" s="393"/>
      <c r="AE203" s="139">
        <f t="shared" si="14"/>
        <v>0</v>
      </c>
      <c r="AF203" s="139" t="str">
        <f>IF('Sch2a-Imp Price by ECM'!C204="Yes", 0, 'Sch2a-Imp Price by ECM'!L204)</f>
        <v/>
      </c>
      <c r="AG203" s="159" t="str">
        <f t="shared" si="15"/>
        <v/>
      </c>
      <c r="AH203" s="4" t="str">
        <f>IF('Sch2a-Imp Price by ECM'!M204="","",'Sch2a-Imp Price by ECM'!M204)</f>
        <v/>
      </c>
    </row>
    <row r="204" spans="1:34" ht="17" thickBot="1">
      <c r="A204" s="75" t="str">
        <f>IF('Sch2a-Imp Price by ECM'!B205="","",'Sch2a-Imp Price by ECM'!B205)</f>
        <v/>
      </c>
      <c r="B204" s="174" t="str">
        <f>IF('Sch2a-Imp Price by ECM'!D205="","",'Sch2a-Imp Price by ECM'!D205)</f>
        <v/>
      </c>
      <c r="C204" s="400" t="str">
        <f>IF('Sch2a-Imp Price by ECM'!G205="","",'Sch2a-Imp Price by ECM'!G205)</f>
        <v/>
      </c>
      <c r="D204" s="274"/>
      <c r="E204" s="391"/>
      <c r="F204" s="391"/>
      <c r="G204" s="391"/>
      <c r="H204" s="391"/>
      <c r="I204" s="276"/>
      <c r="J204" s="391"/>
      <c r="K204" s="275"/>
      <c r="L204" s="275"/>
      <c r="M204" s="275"/>
      <c r="N204" s="276"/>
      <c r="O204" s="391"/>
      <c r="P204" s="275"/>
      <c r="Q204" s="392"/>
      <c r="R204" s="275"/>
      <c r="S204" s="392"/>
      <c r="T204" s="393"/>
      <c r="U204" s="392"/>
      <c r="V204" s="393"/>
      <c r="W204" s="394"/>
      <c r="X204" s="393"/>
      <c r="Y204" s="390">
        <f t="shared" si="16"/>
        <v>0</v>
      </c>
      <c r="Z204" s="16">
        <f t="shared" si="13"/>
        <v>0</v>
      </c>
      <c r="AA204" s="392"/>
      <c r="AB204" s="393"/>
      <c r="AC204" s="393"/>
      <c r="AD204" s="393"/>
      <c r="AE204" s="139">
        <f t="shared" si="14"/>
        <v>0</v>
      </c>
      <c r="AF204" s="139" t="str">
        <f>IF('Sch2a-Imp Price by ECM'!C205="Yes", 0, 'Sch2a-Imp Price by ECM'!L205)</f>
        <v/>
      </c>
      <c r="AG204" s="159" t="str">
        <f t="shared" si="15"/>
        <v/>
      </c>
      <c r="AH204" s="4" t="str">
        <f>IF('Sch2a-Imp Price by ECM'!M205="","",'Sch2a-Imp Price by ECM'!M205)</f>
        <v/>
      </c>
    </row>
    <row r="205" spans="1:34" ht="17" thickBot="1">
      <c r="A205" s="75" t="str">
        <f>IF('Sch2a-Imp Price by ECM'!B206="","",'Sch2a-Imp Price by ECM'!B206)</f>
        <v/>
      </c>
      <c r="B205" s="174" t="str">
        <f>IF('Sch2a-Imp Price by ECM'!D206="","",'Sch2a-Imp Price by ECM'!D206)</f>
        <v/>
      </c>
      <c r="C205" s="400" t="str">
        <f>IF('Sch2a-Imp Price by ECM'!G206="","",'Sch2a-Imp Price by ECM'!G206)</f>
        <v/>
      </c>
      <c r="D205" s="274"/>
      <c r="E205" s="391"/>
      <c r="F205" s="391"/>
      <c r="G205" s="391"/>
      <c r="H205" s="391"/>
      <c r="I205" s="276"/>
      <c r="J205" s="391"/>
      <c r="K205" s="275"/>
      <c r="L205" s="275"/>
      <c r="M205" s="275"/>
      <c r="N205" s="269"/>
      <c r="O205" s="391"/>
      <c r="P205" s="275"/>
      <c r="Q205" s="392"/>
      <c r="R205" s="275"/>
      <c r="S205" s="392"/>
      <c r="T205" s="393"/>
      <c r="U205" s="392"/>
      <c r="V205" s="393"/>
      <c r="W205" s="394"/>
      <c r="X205" s="393"/>
      <c r="Y205" s="390">
        <f t="shared" si="16"/>
        <v>0</v>
      </c>
      <c r="Z205" s="16">
        <f t="shared" si="13"/>
        <v>0</v>
      </c>
      <c r="AA205" s="392"/>
      <c r="AB205" s="393"/>
      <c r="AC205" s="393"/>
      <c r="AD205" s="393"/>
      <c r="AE205" s="139">
        <f t="shared" si="14"/>
        <v>0</v>
      </c>
      <c r="AF205" s="139" t="str">
        <f>IF('Sch2a-Imp Price by ECM'!C206="Yes", 0, 'Sch2a-Imp Price by ECM'!L206)</f>
        <v/>
      </c>
      <c r="AG205" s="159" t="str">
        <f t="shared" si="15"/>
        <v/>
      </c>
      <c r="AH205" s="4" t="str">
        <f>IF('Sch2a-Imp Price by ECM'!M206="","",'Sch2a-Imp Price by ECM'!M206)</f>
        <v/>
      </c>
    </row>
    <row r="206" spans="1:34" ht="17" thickBot="1">
      <c r="A206" s="75" t="str">
        <f>IF('Sch2a-Imp Price by ECM'!B207="","",'Sch2a-Imp Price by ECM'!B207)</f>
        <v/>
      </c>
      <c r="B206" s="174" t="str">
        <f>IF('Sch2a-Imp Price by ECM'!D207="","",'Sch2a-Imp Price by ECM'!D207)</f>
        <v/>
      </c>
      <c r="C206" s="400" t="str">
        <f>IF('Sch2a-Imp Price by ECM'!G207="","",'Sch2a-Imp Price by ECM'!G207)</f>
        <v/>
      </c>
      <c r="D206" s="274"/>
      <c r="E206" s="391"/>
      <c r="F206" s="391"/>
      <c r="G206" s="391"/>
      <c r="H206" s="391"/>
      <c r="I206" s="276"/>
      <c r="J206" s="391"/>
      <c r="K206" s="275"/>
      <c r="L206" s="275"/>
      <c r="M206" s="275"/>
      <c r="N206" s="269"/>
      <c r="O206" s="391"/>
      <c r="P206" s="275"/>
      <c r="Q206" s="392"/>
      <c r="R206" s="275"/>
      <c r="S206" s="392"/>
      <c r="T206" s="393"/>
      <c r="U206" s="392"/>
      <c r="V206" s="393"/>
      <c r="W206" s="394"/>
      <c r="X206" s="393"/>
      <c r="Y206" s="390">
        <f t="shared" si="16"/>
        <v>0</v>
      </c>
      <c r="Z206" s="16">
        <f t="shared" si="13"/>
        <v>0</v>
      </c>
      <c r="AA206" s="392"/>
      <c r="AB206" s="393"/>
      <c r="AC206" s="393"/>
      <c r="AD206" s="393"/>
      <c r="AE206" s="139">
        <f t="shared" si="14"/>
        <v>0</v>
      </c>
      <c r="AF206" s="139" t="str">
        <f>IF('Sch2a-Imp Price by ECM'!C207="Yes", 0, 'Sch2a-Imp Price by ECM'!L207)</f>
        <v/>
      </c>
      <c r="AG206" s="159" t="str">
        <f t="shared" si="15"/>
        <v/>
      </c>
      <c r="AH206" s="4" t="str">
        <f>IF('Sch2a-Imp Price by ECM'!M207="","",'Sch2a-Imp Price by ECM'!M207)</f>
        <v/>
      </c>
    </row>
    <row r="207" spans="1:34" ht="17" thickBot="1">
      <c r="A207" s="75" t="str">
        <f>IF('Sch2a-Imp Price by ECM'!B208="","",'Sch2a-Imp Price by ECM'!B208)</f>
        <v/>
      </c>
      <c r="B207" s="174" t="str">
        <f>IF('Sch2a-Imp Price by ECM'!D208="","",'Sch2a-Imp Price by ECM'!D208)</f>
        <v/>
      </c>
      <c r="C207" s="400" t="str">
        <f>IF('Sch2a-Imp Price by ECM'!G208="","",'Sch2a-Imp Price by ECM'!G208)</f>
        <v/>
      </c>
      <c r="D207" s="274"/>
      <c r="E207" s="391"/>
      <c r="F207" s="391"/>
      <c r="G207" s="391"/>
      <c r="H207" s="391"/>
      <c r="I207" s="276"/>
      <c r="J207" s="391"/>
      <c r="K207" s="275"/>
      <c r="L207" s="275"/>
      <c r="M207" s="275"/>
      <c r="N207" s="269"/>
      <c r="O207" s="391"/>
      <c r="P207" s="275"/>
      <c r="Q207" s="392"/>
      <c r="R207" s="275"/>
      <c r="S207" s="392"/>
      <c r="T207" s="393"/>
      <c r="U207" s="392"/>
      <c r="V207" s="393"/>
      <c r="W207" s="394"/>
      <c r="X207" s="393"/>
      <c r="Y207" s="390">
        <f t="shared" si="16"/>
        <v>0</v>
      </c>
      <c r="Z207" s="16">
        <f t="shared" si="13"/>
        <v>0</v>
      </c>
      <c r="AA207" s="392"/>
      <c r="AB207" s="393"/>
      <c r="AC207" s="393"/>
      <c r="AD207" s="393"/>
      <c r="AE207" s="139">
        <f t="shared" si="14"/>
        <v>0</v>
      </c>
      <c r="AF207" s="139" t="str">
        <f>IF('Sch2a-Imp Price by ECM'!C208="Yes", 0, 'Sch2a-Imp Price by ECM'!L208)</f>
        <v/>
      </c>
      <c r="AG207" s="159" t="str">
        <f t="shared" si="15"/>
        <v/>
      </c>
      <c r="AH207" s="4" t="str">
        <f>IF('Sch2a-Imp Price by ECM'!M208="","",'Sch2a-Imp Price by ECM'!M208)</f>
        <v/>
      </c>
    </row>
    <row r="208" spans="1:34" ht="17" thickBot="1">
      <c r="A208" s="75" t="str">
        <f>IF('Sch2a-Imp Price by ECM'!B209="","",'Sch2a-Imp Price by ECM'!B209)</f>
        <v/>
      </c>
      <c r="B208" s="174" t="str">
        <f>IF('Sch2a-Imp Price by ECM'!D209="","",'Sch2a-Imp Price by ECM'!D209)</f>
        <v/>
      </c>
      <c r="C208" s="400" t="str">
        <f>IF('Sch2a-Imp Price by ECM'!G209="","",'Sch2a-Imp Price by ECM'!G209)</f>
        <v/>
      </c>
      <c r="D208" s="274"/>
      <c r="E208" s="391"/>
      <c r="F208" s="391"/>
      <c r="G208" s="391"/>
      <c r="H208" s="391"/>
      <c r="I208" s="276"/>
      <c r="J208" s="391"/>
      <c r="K208" s="275"/>
      <c r="L208" s="275"/>
      <c r="M208" s="275"/>
      <c r="N208" s="269"/>
      <c r="O208" s="391"/>
      <c r="P208" s="275"/>
      <c r="Q208" s="392"/>
      <c r="R208" s="275"/>
      <c r="S208" s="392"/>
      <c r="T208" s="393"/>
      <c r="U208" s="392"/>
      <c r="V208" s="393"/>
      <c r="W208" s="394"/>
      <c r="X208" s="393"/>
      <c r="Y208" s="390">
        <f t="shared" si="16"/>
        <v>0</v>
      </c>
      <c r="Z208" s="16">
        <f t="shared" si="13"/>
        <v>0</v>
      </c>
      <c r="AA208" s="392"/>
      <c r="AB208" s="393"/>
      <c r="AC208" s="393"/>
      <c r="AD208" s="393"/>
      <c r="AE208" s="139">
        <f t="shared" si="14"/>
        <v>0</v>
      </c>
      <c r="AF208" s="139" t="str">
        <f>IF('Sch2a-Imp Price by ECM'!C209="Yes", 0, 'Sch2a-Imp Price by ECM'!L209)</f>
        <v/>
      </c>
      <c r="AG208" s="159" t="str">
        <f t="shared" si="15"/>
        <v/>
      </c>
      <c r="AH208" s="4" t="str">
        <f>IF('Sch2a-Imp Price by ECM'!M209="","",'Sch2a-Imp Price by ECM'!M209)</f>
        <v/>
      </c>
    </row>
    <row r="209" spans="1:34" ht="17" thickBot="1">
      <c r="A209" s="75" t="str">
        <f>IF('Sch2a-Imp Price by ECM'!B210="","",'Sch2a-Imp Price by ECM'!B210)</f>
        <v/>
      </c>
      <c r="B209" s="174" t="str">
        <f>IF('Sch2a-Imp Price by ECM'!D210="","",'Sch2a-Imp Price by ECM'!D210)</f>
        <v/>
      </c>
      <c r="C209" s="400" t="str">
        <f>IF('Sch2a-Imp Price by ECM'!G210="","",'Sch2a-Imp Price by ECM'!G210)</f>
        <v/>
      </c>
      <c r="D209" s="274"/>
      <c r="E209" s="391"/>
      <c r="F209" s="391"/>
      <c r="G209" s="391"/>
      <c r="H209" s="391"/>
      <c r="I209" s="276"/>
      <c r="J209" s="391"/>
      <c r="K209" s="275"/>
      <c r="L209" s="275"/>
      <c r="M209" s="275"/>
      <c r="N209" s="269"/>
      <c r="O209" s="391"/>
      <c r="P209" s="275"/>
      <c r="Q209" s="392"/>
      <c r="R209" s="275"/>
      <c r="S209" s="392"/>
      <c r="T209" s="393"/>
      <c r="U209" s="392"/>
      <c r="V209" s="393"/>
      <c r="W209" s="394"/>
      <c r="X209" s="393"/>
      <c r="Y209" s="390">
        <f t="shared" si="16"/>
        <v>0</v>
      </c>
      <c r="Z209" s="16">
        <f t="shared" si="13"/>
        <v>0</v>
      </c>
      <c r="AA209" s="392"/>
      <c r="AB209" s="393"/>
      <c r="AC209" s="393"/>
      <c r="AD209" s="393"/>
      <c r="AE209" s="139">
        <f t="shared" si="14"/>
        <v>0</v>
      </c>
      <c r="AF209" s="139" t="str">
        <f>IF('Sch2a-Imp Price by ECM'!C210="Yes", 0, 'Sch2a-Imp Price by ECM'!L210)</f>
        <v/>
      </c>
      <c r="AG209" s="159" t="str">
        <f t="shared" si="15"/>
        <v/>
      </c>
      <c r="AH209" s="4" t="str">
        <f>IF('Sch2a-Imp Price by ECM'!M210="","",'Sch2a-Imp Price by ECM'!M210)</f>
        <v/>
      </c>
    </row>
    <row r="210" spans="1:34" ht="17" thickBot="1">
      <c r="A210" s="75" t="str">
        <f>IF('Sch2a-Imp Price by ECM'!B211="","",'Sch2a-Imp Price by ECM'!B211)</f>
        <v/>
      </c>
      <c r="B210" s="174" t="str">
        <f>IF('Sch2a-Imp Price by ECM'!D211="","",'Sch2a-Imp Price by ECM'!D211)</f>
        <v/>
      </c>
      <c r="C210" s="400" t="str">
        <f>IF('Sch2a-Imp Price by ECM'!G211="","",'Sch2a-Imp Price by ECM'!G211)</f>
        <v/>
      </c>
      <c r="D210" s="274"/>
      <c r="E210" s="391"/>
      <c r="F210" s="391"/>
      <c r="G210" s="391"/>
      <c r="H210" s="391"/>
      <c r="I210" s="276"/>
      <c r="J210" s="391"/>
      <c r="K210" s="275"/>
      <c r="L210" s="275"/>
      <c r="M210" s="275"/>
      <c r="N210" s="269"/>
      <c r="O210" s="391"/>
      <c r="P210" s="275"/>
      <c r="Q210" s="392"/>
      <c r="R210" s="275"/>
      <c r="S210" s="392"/>
      <c r="T210" s="393"/>
      <c r="U210" s="392"/>
      <c r="V210" s="393"/>
      <c r="W210" s="394"/>
      <c r="X210" s="393"/>
      <c r="Y210" s="390">
        <f t="shared" si="16"/>
        <v>0</v>
      </c>
      <c r="Z210" s="16">
        <f t="shared" si="13"/>
        <v>0</v>
      </c>
      <c r="AA210" s="392"/>
      <c r="AB210" s="393"/>
      <c r="AC210" s="393"/>
      <c r="AD210" s="393"/>
      <c r="AE210" s="139">
        <f t="shared" si="14"/>
        <v>0</v>
      </c>
      <c r="AF210" s="139" t="str">
        <f>IF('Sch2a-Imp Price by ECM'!C211="Yes", 0, 'Sch2a-Imp Price by ECM'!L211)</f>
        <v/>
      </c>
      <c r="AG210" s="159" t="str">
        <f t="shared" si="15"/>
        <v/>
      </c>
      <c r="AH210" s="4" t="str">
        <f>IF('Sch2a-Imp Price by ECM'!M211="","",'Sch2a-Imp Price by ECM'!M211)</f>
        <v/>
      </c>
    </row>
    <row r="211" spans="1:34" ht="17" thickBot="1">
      <c r="A211" s="75" t="str">
        <f>IF('Sch2a-Imp Price by ECM'!B212="","",'Sch2a-Imp Price by ECM'!B212)</f>
        <v/>
      </c>
      <c r="B211" s="174" t="str">
        <f>IF('Sch2a-Imp Price by ECM'!D212="","",'Sch2a-Imp Price by ECM'!D212)</f>
        <v/>
      </c>
      <c r="C211" s="400" t="str">
        <f>IF('Sch2a-Imp Price by ECM'!G212="","",'Sch2a-Imp Price by ECM'!G212)</f>
        <v/>
      </c>
      <c r="D211" s="274"/>
      <c r="E211" s="391"/>
      <c r="F211" s="391"/>
      <c r="G211" s="391"/>
      <c r="H211" s="391"/>
      <c r="I211" s="276"/>
      <c r="J211" s="391"/>
      <c r="K211" s="275"/>
      <c r="L211" s="275"/>
      <c r="M211" s="275"/>
      <c r="N211" s="269"/>
      <c r="O211" s="391"/>
      <c r="P211" s="275"/>
      <c r="Q211" s="392"/>
      <c r="R211" s="275"/>
      <c r="S211" s="392"/>
      <c r="T211" s="393"/>
      <c r="U211" s="392"/>
      <c r="V211" s="393"/>
      <c r="W211" s="394"/>
      <c r="X211" s="393"/>
      <c r="Y211" s="390">
        <f t="shared" si="16"/>
        <v>0</v>
      </c>
      <c r="Z211" s="16">
        <f t="shared" si="13"/>
        <v>0</v>
      </c>
      <c r="AA211" s="392"/>
      <c r="AB211" s="393"/>
      <c r="AC211" s="393"/>
      <c r="AD211" s="393"/>
      <c r="AE211" s="139">
        <f t="shared" si="14"/>
        <v>0</v>
      </c>
      <c r="AF211" s="139" t="str">
        <f>IF('Sch2a-Imp Price by ECM'!C212="Yes", 0, 'Sch2a-Imp Price by ECM'!L212)</f>
        <v/>
      </c>
      <c r="AG211" s="159" t="str">
        <f t="shared" si="15"/>
        <v/>
      </c>
      <c r="AH211" s="4" t="str">
        <f>IF('Sch2a-Imp Price by ECM'!M212="","",'Sch2a-Imp Price by ECM'!M212)</f>
        <v/>
      </c>
    </row>
    <row r="212" spans="1:34" ht="17" thickBot="1">
      <c r="A212" s="75" t="str">
        <f>IF('Sch2a-Imp Price by ECM'!B213="","",'Sch2a-Imp Price by ECM'!B213)</f>
        <v/>
      </c>
      <c r="B212" s="174" t="str">
        <f>IF('Sch2a-Imp Price by ECM'!D213="","",'Sch2a-Imp Price by ECM'!D213)</f>
        <v/>
      </c>
      <c r="C212" s="400" t="str">
        <f>IF('Sch2a-Imp Price by ECM'!G213="","",'Sch2a-Imp Price by ECM'!G213)</f>
        <v/>
      </c>
      <c r="D212" s="274"/>
      <c r="E212" s="391"/>
      <c r="F212" s="391"/>
      <c r="G212" s="391"/>
      <c r="H212" s="391"/>
      <c r="I212" s="276"/>
      <c r="J212" s="391"/>
      <c r="K212" s="275"/>
      <c r="L212" s="275"/>
      <c r="M212" s="275"/>
      <c r="N212" s="269"/>
      <c r="O212" s="391"/>
      <c r="P212" s="275"/>
      <c r="Q212" s="392"/>
      <c r="R212" s="275"/>
      <c r="S212" s="392"/>
      <c r="T212" s="393"/>
      <c r="U212" s="392"/>
      <c r="V212" s="393"/>
      <c r="W212" s="394"/>
      <c r="X212" s="393"/>
      <c r="Y212" s="390">
        <f t="shared" si="16"/>
        <v>0</v>
      </c>
      <c r="Z212" s="16">
        <f t="shared" si="13"/>
        <v>0</v>
      </c>
      <c r="AA212" s="392"/>
      <c r="AB212" s="393"/>
      <c r="AC212" s="393"/>
      <c r="AD212" s="393"/>
      <c r="AE212" s="139">
        <f t="shared" si="14"/>
        <v>0</v>
      </c>
      <c r="AF212" s="139" t="str">
        <f>IF('Sch2a-Imp Price by ECM'!C213="Yes", 0, 'Sch2a-Imp Price by ECM'!L213)</f>
        <v/>
      </c>
      <c r="AG212" s="159" t="str">
        <f t="shared" si="15"/>
        <v/>
      </c>
      <c r="AH212" s="4" t="str">
        <f>IF('Sch2a-Imp Price by ECM'!M213="","",'Sch2a-Imp Price by ECM'!M213)</f>
        <v/>
      </c>
    </row>
    <row r="213" spans="1:34" ht="17" thickBot="1">
      <c r="A213" s="75" t="str">
        <f>IF('Sch2a-Imp Price by ECM'!B214="","",'Sch2a-Imp Price by ECM'!B214)</f>
        <v/>
      </c>
      <c r="B213" s="174" t="str">
        <f>IF('Sch2a-Imp Price by ECM'!D214="","",'Sch2a-Imp Price by ECM'!D214)</f>
        <v/>
      </c>
      <c r="C213" s="400" t="str">
        <f>IF('Sch2a-Imp Price by ECM'!G214="","",'Sch2a-Imp Price by ECM'!G214)</f>
        <v/>
      </c>
      <c r="D213" s="274"/>
      <c r="E213" s="391"/>
      <c r="F213" s="391"/>
      <c r="G213" s="391"/>
      <c r="H213" s="391"/>
      <c r="I213" s="276"/>
      <c r="J213" s="391"/>
      <c r="K213" s="275"/>
      <c r="L213" s="275"/>
      <c r="M213" s="275"/>
      <c r="N213" s="269"/>
      <c r="O213" s="391"/>
      <c r="P213" s="275"/>
      <c r="Q213" s="392"/>
      <c r="R213" s="275"/>
      <c r="S213" s="392"/>
      <c r="T213" s="393"/>
      <c r="U213" s="392"/>
      <c r="V213" s="393"/>
      <c r="W213" s="394"/>
      <c r="X213" s="393"/>
      <c r="Y213" s="390">
        <f t="shared" si="16"/>
        <v>0</v>
      </c>
      <c r="Z213" s="16">
        <f t="shared" si="13"/>
        <v>0</v>
      </c>
      <c r="AA213" s="392"/>
      <c r="AB213" s="393"/>
      <c r="AC213" s="393"/>
      <c r="AD213" s="393"/>
      <c r="AE213" s="139">
        <f t="shared" si="14"/>
        <v>0</v>
      </c>
      <c r="AF213" s="139" t="str">
        <f>IF('Sch2a-Imp Price by ECM'!C214="Yes", 0, 'Sch2a-Imp Price by ECM'!L214)</f>
        <v/>
      </c>
      <c r="AG213" s="159" t="str">
        <f t="shared" si="15"/>
        <v/>
      </c>
      <c r="AH213" s="4" t="str">
        <f>IF('Sch2a-Imp Price by ECM'!M214="","",'Sch2a-Imp Price by ECM'!M214)</f>
        <v/>
      </c>
    </row>
    <row r="214" spans="1:34" ht="17" thickBot="1">
      <c r="A214" s="75" t="str">
        <f>IF('Sch2a-Imp Price by ECM'!B215="","",'Sch2a-Imp Price by ECM'!B215)</f>
        <v/>
      </c>
      <c r="B214" s="174" t="str">
        <f>IF('Sch2a-Imp Price by ECM'!D215="","",'Sch2a-Imp Price by ECM'!D215)</f>
        <v/>
      </c>
      <c r="C214" s="400" t="str">
        <f>IF('Sch2a-Imp Price by ECM'!G215="","",'Sch2a-Imp Price by ECM'!G215)</f>
        <v/>
      </c>
      <c r="D214" s="274"/>
      <c r="E214" s="391"/>
      <c r="F214" s="391"/>
      <c r="G214" s="391"/>
      <c r="H214" s="391"/>
      <c r="I214" s="276"/>
      <c r="J214" s="391"/>
      <c r="K214" s="275"/>
      <c r="L214" s="275"/>
      <c r="M214" s="275"/>
      <c r="N214" s="269"/>
      <c r="O214" s="391"/>
      <c r="P214" s="275"/>
      <c r="Q214" s="392"/>
      <c r="R214" s="275"/>
      <c r="S214" s="392"/>
      <c r="T214" s="393"/>
      <c r="U214" s="392"/>
      <c r="V214" s="393"/>
      <c r="W214" s="394"/>
      <c r="X214" s="393"/>
      <c r="Y214" s="390">
        <f t="shared" si="16"/>
        <v>0</v>
      </c>
      <c r="Z214" s="16">
        <f t="shared" si="13"/>
        <v>0</v>
      </c>
      <c r="AA214" s="392"/>
      <c r="AB214" s="393"/>
      <c r="AC214" s="393"/>
      <c r="AD214" s="393"/>
      <c r="AE214" s="139">
        <f t="shared" si="14"/>
        <v>0</v>
      </c>
      <c r="AF214" s="139" t="str">
        <f>IF('Sch2a-Imp Price by ECM'!C215="Yes", 0, 'Sch2a-Imp Price by ECM'!L215)</f>
        <v/>
      </c>
      <c r="AG214" s="159" t="str">
        <f t="shared" si="15"/>
        <v/>
      </c>
      <c r="AH214" s="4" t="str">
        <f>IF('Sch2a-Imp Price by ECM'!M215="","",'Sch2a-Imp Price by ECM'!M215)</f>
        <v/>
      </c>
    </row>
    <row r="215" spans="1:34" ht="17" thickBot="1">
      <c r="A215" s="75" t="str">
        <f>IF('Sch2a-Imp Price by ECM'!B216="","",'Sch2a-Imp Price by ECM'!B216)</f>
        <v/>
      </c>
      <c r="B215" s="174" t="str">
        <f>IF('Sch2a-Imp Price by ECM'!D216="","",'Sch2a-Imp Price by ECM'!D216)</f>
        <v/>
      </c>
      <c r="C215" s="400" t="str">
        <f>IF('Sch2a-Imp Price by ECM'!G216="","",'Sch2a-Imp Price by ECM'!G216)</f>
        <v/>
      </c>
      <c r="D215" s="274"/>
      <c r="E215" s="391"/>
      <c r="F215" s="391"/>
      <c r="G215" s="391"/>
      <c r="H215" s="391"/>
      <c r="I215" s="276"/>
      <c r="J215" s="391"/>
      <c r="K215" s="275"/>
      <c r="L215" s="275"/>
      <c r="M215" s="275"/>
      <c r="N215" s="269"/>
      <c r="O215" s="391"/>
      <c r="P215" s="275"/>
      <c r="Q215" s="392"/>
      <c r="R215" s="275"/>
      <c r="S215" s="392"/>
      <c r="T215" s="393"/>
      <c r="U215" s="392"/>
      <c r="V215" s="393"/>
      <c r="W215" s="394"/>
      <c r="X215" s="393"/>
      <c r="Y215" s="390">
        <f t="shared" si="16"/>
        <v>0</v>
      </c>
      <c r="Z215" s="16">
        <f t="shared" si="13"/>
        <v>0</v>
      </c>
      <c r="AA215" s="392"/>
      <c r="AB215" s="393"/>
      <c r="AC215" s="393"/>
      <c r="AD215" s="393"/>
      <c r="AE215" s="139">
        <f t="shared" si="14"/>
        <v>0</v>
      </c>
      <c r="AF215" s="139" t="str">
        <f>IF('Sch2a-Imp Price by ECM'!C216="Yes", 0, 'Sch2a-Imp Price by ECM'!L216)</f>
        <v/>
      </c>
      <c r="AG215" s="159" t="str">
        <f t="shared" si="15"/>
        <v/>
      </c>
      <c r="AH215" s="4" t="str">
        <f>IF('Sch2a-Imp Price by ECM'!M216="","",'Sch2a-Imp Price by ECM'!M216)</f>
        <v/>
      </c>
    </row>
    <row r="216" spans="1:34" ht="17" thickBot="1">
      <c r="A216" s="75" t="str">
        <f>IF('Sch2a-Imp Price by ECM'!B217="","",'Sch2a-Imp Price by ECM'!B217)</f>
        <v/>
      </c>
      <c r="B216" s="174" t="str">
        <f>IF('Sch2a-Imp Price by ECM'!D217="","",'Sch2a-Imp Price by ECM'!D217)</f>
        <v/>
      </c>
      <c r="C216" s="400" t="str">
        <f>IF('Sch2a-Imp Price by ECM'!G217="","",'Sch2a-Imp Price by ECM'!G217)</f>
        <v/>
      </c>
      <c r="D216" s="274"/>
      <c r="E216" s="391"/>
      <c r="F216" s="391"/>
      <c r="G216" s="391"/>
      <c r="H216" s="391"/>
      <c r="I216" s="276"/>
      <c r="J216" s="391"/>
      <c r="K216" s="275"/>
      <c r="L216" s="275"/>
      <c r="M216" s="275"/>
      <c r="N216" s="269"/>
      <c r="O216" s="391"/>
      <c r="P216" s="275"/>
      <c r="Q216" s="392"/>
      <c r="R216" s="275"/>
      <c r="S216" s="392"/>
      <c r="T216" s="393"/>
      <c r="U216" s="392"/>
      <c r="V216" s="393"/>
      <c r="W216" s="394"/>
      <c r="X216" s="393"/>
      <c r="Y216" s="390">
        <f t="shared" si="16"/>
        <v>0</v>
      </c>
      <c r="Z216" s="16">
        <f t="shared" si="13"/>
        <v>0</v>
      </c>
      <c r="AA216" s="392"/>
      <c r="AB216" s="393"/>
      <c r="AC216" s="393"/>
      <c r="AD216" s="393"/>
      <c r="AE216" s="139">
        <f t="shared" si="14"/>
        <v>0</v>
      </c>
      <c r="AF216" s="139" t="str">
        <f>IF('Sch2a-Imp Price by ECM'!C217="Yes", 0, 'Sch2a-Imp Price by ECM'!L217)</f>
        <v/>
      </c>
      <c r="AG216" s="159" t="str">
        <f t="shared" si="15"/>
        <v/>
      </c>
      <c r="AH216" s="4" t="str">
        <f>IF('Sch2a-Imp Price by ECM'!M217="","",'Sch2a-Imp Price by ECM'!M217)</f>
        <v/>
      </c>
    </row>
    <row r="217" spans="1:34" ht="17" thickBot="1">
      <c r="A217" s="75" t="str">
        <f>IF('Sch2a-Imp Price by ECM'!B218="","",'Sch2a-Imp Price by ECM'!B218)</f>
        <v/>
      </c>
      <c r="B217" s="174" t="str">
        <f>IF('Sch2a-Imp Price by ECM'!D218="","",'Sch2a-Imp Price by ECM'!D218)</f>
        <v/>
      </c>
      <c r="C217" s="400" t="str">
        <f>IF('Sch2a-Imp Price by ECM'!G218="","",'Sch2a-Imp Price by ECM'!G218)</f>
        <v/>
      </c>
      <c r="D217" s="274"/>
      <c r="E217" s="391"/>
      <c r="F217" s="391"/>
      <c r="G217" s="391"/>
      <c r="H217" s="391"/>
      <c r="I217" s="276"/>
      <c r="J217" s="391"/>
      <c r="K217" s="275"/>
      <c r="L217" s="275"/>
      <c r="M217" s="275"/>
      <c r="N217" s="269"/>
      <c r="O217" s="391"/>
      <c r="P217" s="275"/>
      <c r="Q217" s="392"/>
      <c r="R217" s="275"/>
      <c r="S217" s="392"/>
      <c r="T217" s="393"/>
      <c r="U217" s="392"/>
      <c r="V217" s="393"/>
      <c r="W217" s="394"/>
      <c r="X217" s="393"/>
      <c r="Y217" s="390">
        <f t="shared" si="16"/>
        <v>0</v>
      </c>
      <c r="Z217" s="16">
        <f t="shared" si="13"/>
        <v>0</v>
      </c>
      <c r="AA217" s="392"/>
      <c r="AB217" s="393"/>
      <c r="AC217" s="393"/>
      <c r="AD217" s="393"/>
      <c r="AE217" s="139">
        <f t="shared" si="14"/>
        <v>0</v>
      </c>
      <c r="AF217" s="139" t="str">
        <f>IF('Sch2a-Imp Price by ECM'!C218="Yes", 0, 'Sch2a-Imp Price by ECM'!L218)</f>
        <v/>
      </c>
      <c r="AG217" s="159" t="str">
        <f t="shared" si="15"/>
        <v/>
      </c>
      <c r="AH217" s="4" t="str">
        <f>IF('Sch2a-Imp Price by ECM'!M218="","",'Sch2a-Imp Price by ECM'!M218)</f>
        <v/>
      </c>
    </row>
    <row r="218" spans="1:34" ht="17" thickBot="1">
      <c r="A218" s="75" t="str">
        <f>IF('Sch2a-Imp Price by ECM'!B219="","",'Sch2a-Imp Price by ECM'!B219)</f>
        <v/>
      </c>
      <c r="B218" s="174" t="str">
        <f>IF('Sch2a-Imp Price by ECM'!D219="","",'Sch2a-Imp Price by ECM'!D219)</f>
        <v/>
      </c>
      <c r="C218" s="400" t="str">
        <f>IF('Sch2a-Imp Price by ECM'!G219="","",'Sch2a-Imp Price by ECM'!G219)</f>
        <v/>
      </c>
      <c r="D218" s="274"/>
      <c r="E218" s="391"/>
      <c r="F218" s="391"/>
      <c r="G218" s="391"/>
      <c r="H218" s="391"/>
      <c r="I218" s="276"/>
      <c r="J218" s="391"/>
      <c r="K218" s="275"/>
      <c r="L218" s="275"/>
      <c r="M218" s="275"/>
      <c r="N218" s="269"/>
      <c r="O218" s="391"/>
      <c r="P218" s="275"/>
      <c r="Q218" s="392"/>
      <c r="R218" s="275"/>
      <c r="S218" s="392"/>
      <c r="T218" s="393"/>
      <c r="U218" s="392"/>
      <c r="V218" s="393"/>
      <c r="W218" s="394"/>
      <c r="X218" s="393"/>
      <c r="Y218" s="390">
        <f t="shared" si="16"/>
        <v>0</v>
      </c>
      <c r="Z218" s="16">
        <f t="shared" si="13"/>
        <v>0</v>
      </c>
      <c r="AA218" s="392"/>
      <c r="AB218" s="393"/>
      <c r="AC218" s="393"/>
      <c r="AD218" s="393"/>
      <c r="AE218" s="139">
        <f t="shared" si="14"/>
        <v>0</v>
      </c>
      <c r="AF218" s="139" t="str">
        <f>IF('Sch2a-Imp Price by ECM'!C219="Yes", 0, 'Sch2a-Imp Price by ECM'!L219)</f>
        <v/>
      </c>
      <c r="AG218" s="159" t="str">
        <f t="shared" si="15"/>
        <v/>
      </c>
      <c r="AH218" s="4" t="str">
        <f>IF('Sch2a-Imp Price by ECM'!M219="","",'Sch2a-Imp Price by ECM'!M219)</f>
        <v/>
      </c>
    </row>
    <row r="219" spans="1:34" ht="17" thickBot="1">
      <c r="A219" s="75" t="str">
        <f>IF('Sch2a-Imp Price by ECM'!B220="","",'Sch2a-Imp Price by ECM'!B220)</f>
        <v/>
      </c>
      <c r="B219" s="174" t="str">
        <f>IF('Sch2a-Imp Price by ECM'!D220="","",'Sch2a-Imp Price by ECM'!D220)</f>
        <v/>
      </c>
      <c r="C219" s="400" t="str">
        <f>IF('Sch2a-Imp Price by ECM'!G220="","",'Sch2a-Imp Price by ECM'!G220)</f>
        <v/>
      </c>
      <c r="D219" s="274"/>
      <c r="E219" s="391"/>
      <c r="F219" s="391"/>
      <c r="G219" s="391"/>
      <c r="H219" s="391"/>
      <c r="I219" s="276"/>
      <c r="J219" s="391"/>
      <c r="K219" s="275"/>
      <c r="L219" s="275"/>
      <c r="M219" s="275"/>
      <c r="N219" s="276"/>
      <c r="O219" s="391"/>
      <c r="P219" s="275"/>
      <c r="Q219" s="392"/>
      <c r="R219" s="275"/>
      <c r="S219" s="392"/>
      <c r="T219" s="393"/>
      <c r="U219" s="392"/>
      <c r="V219" s="393"/>
      <c r="W219" s="394"/>
      <c r="X219" s="393"/>
      <c r="Y219" s="390">
        <f t="shared" si="16"/>
        <v>0</v>
      </c>
      <c r="Z219" s="16">
        <f t="shared" si="13"/>
        <v>0</v>
      </c>
      <c r="AA219" s="392"/>
      <c r="AB219" s="393"/>
      <c r="AC219" s="393"/>
      <c r="AD219" s="393"/>
      <c r="AE219" s="139">
        <f t="shared" si="14"/>
        <v>0</v>
      </c>
      <c r="AF219" s="139" t="str">
        <f>IF('Sch2a-Imp Price by ECM'!C220="Yes", 0, 'Sch2a-Imp Price by ECM'!L220)</f>
        <v/>
      </c>
      <c r="AG219" s="159" t="str">
        <f t="shared" si="15"/>
        <v/>
      </c>
      <c r="AH219" s="4" t="str">
        <f>IF('Sch2a-Imp Price by ECM'!M220="","",'Sch2a-Imp Price by ECM'!M220)</f>
        <v/>
      </c>
    </row>
    <row r="220" spans="1:34" ht="17" thickBot="1">
      <c r="A220" s="75" t="str">
        <f>IF('Sch2a-Imp Price by ECM'!B221="","",'Sch2a-Imp Price by ECM'!B221)</f>
        <v/>
      </c>
      <c r="B220" s="174" t="str">
        <f>IF('Sch2a-Imp Price by ECM'!D221="","",'Sch2a-Imp Price by ECM'!D221)</f>
        <v/>
      </c>
      <c r="C220" s="400" t="str">
        <f>IF('Sch2a-Imp Price by ECM'!G221="","",'Sch2a-Imp Price by ECM'!G221)</f>
        <v/>
      </c>
      <c r="D220" s="274"/>
      <c r="E220" s="391"/>
      <c r="F220" s="391"/>
      <c r="G220" s="391"/>
      <c r="H220" s="391"/>
      <c r="I220" s="276"/>
      <c r="J220" s="391"/>
      <c r="K220" s="275"/>
      <c r="L220" s="275"/>
      <c r="M220" s="275"/>
      <c r="N220" s="276"/>
      <c r="O220" s="391"/>
      <c r="P220" s="275"/>
      <c r="Q220" s="392"/>
      <c r="R220" s="275"/>
      <c r="S220" s="392"/>
      <c r="T220" s="393"/>
      <c r="U220" s="392"/>
      <c r="V220" s="393"/>
      <c r="W220" s="394"/>
      <c r="X220" s="393"/>
      <c r="Y220" s="390">
        <f t="shared" si="16"/>
        <v>0</v>
      </c>
      <c r="Z220" s="16">
        <f t="shared" si="13"/>
        <v>0</v>
      </c>
      <c r="AA220" s="392"/>
      <c r="AB220" s="393"/>
      <c r="AC220" s="393"/>
      <c r="AD220" s="393"/>
      <c r="AE220" s="139">
        <f t="shared" si="14"/>
        <v>0</v>
      </c>
      <c r="AF220" s="139" t="str">
        <f>IF('Sch2a-Imp Price by ECM'!C221="Yes", 0, 'Sch2a-Imp Price by ECM'!L221)</f>
        <v/>
      </c>
      <c r="AG220" s="159" t="str">
        <f t="shared" si="15"/>
        <v/>
      </c>
      <c r="AH220" s="4" t="str">
        <f>IF('Sch2a-Imp Price by ECM'!M221="","",'Sch2a-Imp Price by ECM'!M221)</f>
        <v/>
      </c>
    </row>
    <row r="221" spans="1:34" ht="17" thickBot="1">
      <c r="A221" s="75" t="str">
        <f>IF('Sch2a-Imp Price by ECM'!B222="","",'Sch2a-Imp Price by ECM'!B222)</f>
        <v/>
      </c>
      <c r="B221" s="174" t="str">
        <f>IF('Sch2a-Imp Price by ECM'!D222="","",'Sch2a-Imp Price by ECM'!D222)</f>
        <v/>
      </c>
      <c r="C221" s="400" t="str">
        <f>IF('Sch2a-Imp Price by ECM'!G222="","",'Sch2a-Imp Price by ECM'!G222)</f>
        <v/>
      </c>
      <c r="D221" s="274"/>
      <c r="E221" s="391"/>
      <c r="F221" s="391"/>
      <c r="G221" s="391"/>
      <c r="H221" s="391"/>
      <c r="I221" s="276"/>
      <c r="J221" s="391"/>
      <c r="K221" s="275"/>
      <c r="L221" s="275"/>
      <c r="M221" s="275"/>
      <c r="N221" s="276"/>
      <c r="O221" s="391"/>
      <c r="P221" s="275"/>
      <c r="Q221" s="392"/>
      <c r="R221" s="275"/>
      <c r="S221" s="392"/>
      <c r="T221" s="393"/>
      <c r="U221" s="392"/>
      <c r="V221" s="393"/>
      <c r="W221" s="394"/>
      <c r="X221" s="393"/>
      <c r="Y221" s="390">
        <f t="shared" si="16"/>
        <v>0</v>
      </c>
      <c r="Z221" s="16">
        <f t="shared" si="13"/>
        <v>0</v>
      </c>
      <c r="AA221" s="392"/>
      <c r="AB221" s="393"/>
      <c r="AC221" s="393"/>
      <c r="AD221" s="393"/>
      <c r="AE221" s="139">
        <f t="shared" si="14"/>
        <v>0</v>
      </c>
      <c r="AF221" s="139" t="str">
        <f>IF('Sch2a-Imp Price by ECM'!C222="Yes", 0, 'Sch2a-Imp Price by ECM'!L222)</f>
        <v/>
      </c>
      <c r="AG221" s="159" t="str">
        <f t="shared" si="15"/>
        <v/>
      </c>
      <c r="AH221" s="4" t="str">
        <f>IF('Sch2a-Imp Price by ECM'!M222="","",'Sch2a-Imp Price by ECM'!M222)</f>
        <v/>
      </c>
    </row>
    <row r="222" spans="1:34" ht="17" thickBot="1">
      <c r="A222" s="75" t="str">
        <f>IF('Sch2a-Imp Price by ECM'!B223="","",'Sch2a-Imp Price by ECM'!B223)</f>
        <v/>
      </c>
      <c r="B222" s="174" t="str">
        <f>IF('Sch2a-Imp Price by ECM'!D223="","",'Sch2a-Imp Price by ECM'!D223)</f>
        <v/>
      </c>
      <c r="C222" s="400" t="str">
        <f>IF('Sch2a-Imp Price by ECM'!G223="","",'Sch2a-Imp Price by ECM'!G223)</f>
        <v/>
      </c>
      <c r="D222" s="274"/>
      <c r="E222" s="391"/>
      <c r="F222" s="391"/>
      <c r="G222" s="391"/>
      <c r="H222" s="391"/>
      <c r="I222" s="276"/>
      <c r="J222" s="391"/>
      <c r="K222" s="275"/>
      <c r="L222" s="275"/>
      <c r="M222" s="275"/>
      <c r="N222" s="276"/>
      <c r="O222" s="391"/>
      <c r="P222" s="275"/>
      <c r="Q222" s="392"/>
      <c r="R222" s="275"/>
      <c r="S222" s="392"/>
      <c r="T222" s="393"/>
      <c r="U222" s="392"/>
      <c r="V222" s="393"/>
      <c r="W222" s="394"/>
      <c r="X222" s="393"/>
      <c r="Y222" s="390">
        <f t="shared" si="16"/>
        <v>0</v>
      </c>
      <c r="Z222" s="16">
        <f t="shared" si="13"/>
        <v>0</v>
      </c>
      <c r="AA222" s="392"/>
      <c r="AB222" s="393"/>
      <c r="AC222" s="393"/>
      <c r="AD222" s="393"/>
      <c r="AE222" s="139">
        <f t="shared" si="14"/>
        <v>0</v>
      </c>
      <c r="AF222" s="139" t="str">
        <f>IF('Sch2a-Imp Price by ECM'!C223="Yes", 0, 'Sch2a-Imp Price by ECM'!L223)</f>
        <v/>
      </c>
      <c r="AG222" s="159" t="str">
        <f t="shared" si="15"/>
        <v/>
      </c>
      <c r="AH222" s="4" t="str">
        <f>IF('Sch2a-Imp Price by ECM'!M223="","",'Sch2a-Imp Price by ECM'!M223)</f>
        <v/>
      </c>
    </row>
    <row r="223" spans="1:34" ht="18" customHeight="1" thickBot="1">
      <c r="A223" s="75" t="str">
        <f>IF('Sch2a-Imp Price by ECM'!B224="","",'Sch2a-Imp Price by ECM'!B224)</f>
        <v/>
      </c>
      <c r="B223" s="174" t="str">
        <f>IF('Sch2a-Imp Price by ECM'!D224="","",'Sch2a-Imp Price by ECM'!D224)</f>
        <v/>
      </c>
      <c r="C223" s="400" t="str">
        <f>IF('Sch2a-Imp Price by ECM'!G224="","",'Sch2a-Imp Price by ECM'!G224)</f>
        <v/>
      </c>
      <c r="D223" s="274"/>
      <c r="E223" s="391"/>
      <c r="F223" s="391"/>
      <c r="G223" s="391"/>
      <c r="H223" s="391"/>
      <c r="I223" s="276"/>
      <c r="J223" s="391"/>
      <c r="K223" s="275"/>
      <c r="L223" s="275"/>
      <c r="M223" s="275"/>
      <c r="N223" s="276"/>
      <c r="O223" s="391"/>
      <c r="P223" s="275"/>
      <c r="Q223" s="392"/>
      <c r="R223" s="275"/>
      <c r="S223" s="392"/>
      <c r="T223" s="393"/>
      <c r="U223" s="392"/>
      <c r="V223" s="393"/>
      <c r="W223" s="394"/>
      <c r="X223" s="393"/>
      <c r="Y223" s="390">
        <f t="shared" si="16"/>
        <v>0</v>
      </c>
      <c r="Z223" s="16">
        <f t="shared" si="13"/>
        <v>0</v>
      </c>
      <c r="AA223" s="392"/>
      <c r="AB223" s="393"/>
      <c r="AC223" s="393"/>
      <c r="AD223" s="393"/>
      <c r="AE223" s="139">
        <f t="shared" si="14"/>
        <v>0</v>
      </c>
      <c r="AF223" s="139" t="str">
        <f>IF('Sch2a-Imp Price by ECM'!C224="Yes", 0, 'Sch2a-Imp Price by ECM'!L224)</f>
        <v/>
      </c>
      <c r="AG223" s="159" t="str">
        <f t="shared" si="15"/>
        <v/>
      </c>
      <c r="AH223" s="4" t="str">
        <f>IF('Sch2a-Imp Price by ECM'!M224="","",'Sch2a-Imp Price by ECM'!M224)</f>
        <v/>
      </c>
    </row>
    <row r="224" spans="1:34" ht="17" thickBot="1">
      <c r="A224" s="75" t="str">
        <f>IF('Sch2a-Imp Price by ECM'!B225="","",'Sch2a-Imp Price by ECM'!B225)</f>
        <v/>
      </c>
      <c r="B224" s="174" t="str">
        <f>IF('Sch2a-Imp Price by ECM'!D225="","",'Sch2a-Imp Price by ECM'!D225)</f>
        <v/>
      </c>
      <c r="C224" s="400" t="str">
        <f>IF('Sch2a-Imp Price by ECM'!G225="","",'Sch2a-Imp Price by ECM'!G225)</f>
        <v/>
      </c>
      <c r="D224" s="274"/>
      <c r="E224" s="391"/>
      <c r="F224" s="391"/>
      <c r="G224" s="391"/>
      <c r="H224" s="391"/>
      <c r="I224" s="276"/>
      <c r="J224" s="391"/>
      <c r="K224" s="275"/>
      <c r="L224" s="275"/>
      <c r="M224" s="275"/>
      <c r="N224" s="276"/>
      <c r="O224" s="391"/>
      <c r="P224" s="275"/>
      <c r="Q224" s="392"/>
      <c r="R224" s="275"/>
      <c r="S224" s="392"/>
      <c r="T224" s="393"/>
      <c r="U224" s="392"/>
      <c r="V224" s="393"/>
      <c r="W224" s="394"/>
      <c r="X224" s="393"/>
      <c r="Y224" s="390">
        <f t="shared" si="16"/>
        <v>0</v>
      </c>
      <c r="Z224" s="16">
        <f t="shared" si="13"/>
        <v>0</v>
      </c>
      <c r="AA224" s="392"/>
      <c r="AB224" s="393"/>
      <c r="AC224" s="393"/>
      <c r="AD224" s="393"/>
      <c r="AE224" s="139">
        <f t="shared" si="14"/>
        <v>0</v>
      </c>
      <c r="AF224" s="139" t="str">
        <f>IF('Sch2a-Imp Price by ECM'!C225="Yes", 0, 'Sch2a-Imp Price by ECM'!L225)</f>
        <v/>
      </c>
      <c r="AG224" s="159" t="str">
        <f t="shared" si="15"/>
        <v/>
      </c>
      <c r="AH224" s="4" t="str">
        <f>IF('Sch2a-Imp Price by ECM'!M225="","",'Sch2a-Imp Price by ECM'!M225)</f>
        <v/>
      </c>
    </row>
    <row r="225" spans="1:34" ht="17" thickBot="1">
      <c r="A225" s="75" t="str">
        <f>IF('Sch2a-Imp Price by ECM'!B226="","",'Sch2a-Imp Price by ECM'!B226)</f>
        <v/>
      </c>
      <c r="B225" s="174" t="str">
        <f>IF('Sch2a-Imp Price by ECM'!D226="","",'Sch2a-Imp Price by ECM'!D226)</f>
        <v/>
      </c>
      <c r="C225" s="400" t="str">
        <f>IF('Sch2a-Imp Price by ECM'!G226="","",'Sch2a-Imp Price by ECM'!G226)</f>
        <v/>
      </c>
      <c r="D225" s="274"/>
      <c r="E225" s="391"/>
      <c r="F225" s="391"/>
      <c r="G225" s="391"/>
      <c r="H225" s="391"/>
      <c r="I225" s="276"/>
      <c r="J225" s="391"/>
      <c r="K225" s="275"/>
      <c r="L225" s="275"/>
      <c r="M225" s="275"/>
      <c r="N225" s="276"/>
      <c r="O225" s="391"/>
      <c r="P225" s="275"/>
      <c r="Q225" s="392"/>
      <c r="R225" s="275"/>
      <c r="S225" s="392"/>
      <c r="T225" s="393"/>
      <c r="U225" s="392"/>
      <c r="V225" s="393"/>
      <c r="W225" s="394"/>
      <c r="X225" s="393"/>
      <c r="Y225" s="390">
        <f t="shared" si="16"/>
        <v>0</v>
      </c>
      <c r="Z225" s="16">
        <f t="shared" si="13"/>
        <v>0</v>
      </c>
      <c r="AA225" s="392"/>
      <c r="AB225" s="393"/>
      <c r="AC225" s="393"/>
      <c r="AD225" s="393"/>
      <c r="AE225" s="139">
        <f t="shared" si="14"/>
        <v>0</v>
      </c>
      <c r="AF225" s="139" t="str">
        <f>IF('Sch2a-Imp Price by ECM'!C226="Yes", 0, 'Sch2a-Imp Price by ECM'!L226)</f>
        <v/>
      </c>
      <c r="AG225" s="159" t="str">
        <f t="shared" si="15"/>
        <v/>
      </c>
      <c r="AH225" s="4" t="str">
        <f>IF('Sch2a-Imp Price by ECM'!M226="","",'Sch2a-Imp Price by ECM'!M226)</f>
        <v/>
      </c>
    </row>
    <row r="226" spans="1:34" ht="17" thickBot="1">
      <c r="A226" s="75" t="str">
        <f>IF('Sch2a-Imp Price by ECM'!B227="","",'Sch2a-Imp Price by ECM'!B227)</f>
        <v/>
      </c>
      <c r="B226" s="174" t="str">
        <f>IF('Sch2a-Imp Price by ECM'!D227="","",'Sch2a-Imp Price by ECM'!D227)</f>
        <v/>
      </c>
      <c r="C226" s="400" t="str">
        <f>IF('Sch2a-Imp Price by ECM'!G227="","",'Sch2a-Imp Price by ECM'!G227)</f>
        <v/>
      </c>
      <c r="D226" s="274"/>
      <c r="E226" s="391"/>
      <c r="F226" s="391"/>
      <c r="G226" s="391"/>
      <c r="H226" s="391"/>
      <c r="I226" s="276"/>
      <c r="J226" s="391"/>
      <c r="K226" s="275"/>
      <c r="L226" s="275"/>
      <c r="M226" s="275"/>
      <c r="N226" s="269"/>
      <c r="O226" s="391"/>
      <c r="P226" s="275"/>
      <c r="Q226" s="392"/>
      <c r="R226" s="275"/>
      <c r="S226" s="392"/>
      <c r="T226" s="393"/>
      <c r="U226" s="392"/>
      <c r="V226" s="393"/>
      <c r="W226" s="394"/>
      <c r="X226" s="393"/>
      <c r="Y226" s="390">
        <f t="shared" si="16"/>
        <v>0</v>
      </c>
      <c r="Z226" s="16">
        <f t="shared" si="13"/>
        <v>0</v>
      </c>
      <c r="AA226" s="392"/>
      <c r="AB226" s="393"/>
      <c r="AC226" s="393"/>
      <c r="AD226" s="393"/>
      <c r="AE226" s="139">
        <f t="shared" si="14"/>
        <v>0</v>
      </c>
      <c r="AF226" s="139" t="str">
        <f>IF('Sch2a-Imp Price by ECM'!C227="Yes", 0, 'Sch2a-Imp Price by ECM'!L227)</f>
        <v/>
      </c>
      <c r="AG226" s="159" t="str">
        <f t="shared" si="15"/>
        <v/>
      </c>
      <c r="AH226" s="4" t="str">
        <f>IF('Sch2a-Imp Price by ECM'!M227="","",'Sch2a-Imp Price by ECM'!M227)</f>
        <v/>
      </c>
    </row>
    <row r="227" spans="1:34" ht="17" thickBot="1">
      <c r="A227" s="75" t="str">
        <f>IF('Sch2a-Imp Price by ECM'!B228="","",'Sch2a-Imp Price by ECM'!B228)</f>
        <v/>
      </c>
      <c r="B227" s="174" t="str">
        <f>IF('Sch2a-Imp Price by ECM'!D228="","",'Sch2a-Imp Price by ECM'!D228)</f>
        <v/>
      </c>
      <c r="C227" s="400" t="str">
        <f>IF('Sch2a-Imp Price by ECM'!G228="","",'Sch2a-Imp Price by ECM'!G228)</f>
        <v/>
      </c>
      <c r="D227" s="274"/>
      <c r="E227" s="391"/>
      <c r="F227" s="391"/>
      <c r="G227" s="391"/>
      <c r="H227" s="391"/>
      <c r="I227" s="276"/>
      <c r="J227" s="391"/>
      <c r="K227" s="275"/>
      <c r="L227" s="275"/>
      <c r="M227" s="275"/>
      <c r="N227" s="269"/>
      <c r="O227" s="391"/>
      <c r="P227" s="275"/>
      <c r="Q227" s="392"/>
      <c r="R227" s="275"/>
      <c r="S227" s="392"/>
      <c r="T227" s="393"/>
      <c r="U227" s="392"/>
      <c r="V227" s="393"/>
      <c r="W227" s="394"/>
      <c r="X227" s="393"/>
      <c r="Y227" s="390">
        <f t="shared" si="16"/>
        <v>0</v>
      </c>
      <c r="Z227" s="16">
        <f t="shared" si="13"/>
        <v>0</v>
      </c>
      <c r="AA227" s="392"/>
      <c r="AB227" s="393"/>
      <c r="AC227" s="393"/>
      <c r="AD227" s="393"/>
      <c r="AE227" s="139">
        <f t="shared" si="14"/>
        <v>0</v>
      </c>
      <c r="AF227" s="139" t="str">
        <f>IF('Sch2a-Imp Price by ECM'!C228="Yes", 0, 'Sch2a-Imp Price by ECM'!L228)</f>
        <v/>
      </c>
      <c r="AG227" s="159" t="str">
        <f t="shared" si="15"/>
        <v/>
      </c>
      <c r="AH227" s="4" t="str">
        <f>IF('Sch2a-Imp Price by ECM'!M228="","",'Sch2a-Imp Price by ECM'!M228)</f>
        <v/>
      </c>
    </row>
    <row r="228" spans="1:34" ht="17" thickBot="1">
      <c r="A228" s="75" t="str">
        <f>IF('Sch2a-Imp Price by ECM'!B229="","",'Sch2a-Imp Price by ECM'!B229)</f>
        <v/>
      </c>
      <c r="B228" s="174" t="str">
        <f>IF('Sch2a-Imp Price by ECM'!D229="","",'Sch2a-Imp Price by ECM'!D229)</f>
        <v/>
      </c>
      <c r="C228" s="400" t="str">
        <f>IF('Sch2a-Imp Price by ECM'!G229="","",'Sch2a-Imp Price by ECM'!G229)</f>
        <v/>
      </c>
      <c r="D228" s="274"/>
      <c r="E228" s="391"/>
      <c r="F228" s="391"/>
      <c r="G228" s="391"/>
      <c r="H228" s="391"/>
      <c r="I228" s="276"/>
      <c r="J228" s="391"/>
      <c r="K228" s="275"/>
      <c r="L228" s="275"/>
      <c r="M228" s="275"/>
      <c r="N228" s="269"/>
      <c r="O228" s="391"/>
      <c r="P228" s="275"/>
      <c r="Q228" s="392"/>
      <c r="R228" s="275"/>
      <c r="S228" s="392"/>
      <c r="T228" s="393"/>
      <c r="U228" s="392"/>
      <c r="V228" s="393"/>
      <c r="W228" s="394"/>
      <c r="X228" s="393"/>
      <c r="Y228" s="390">
        <f t="shared" si="16"/>
        <v>0</v>
      </c>
      <c r="Z228" s="16">
        <f t="shared" si="13"/>
        <v>0</v>
      </c>
      <c r="AA228" s="392"/>
      <c r="AB228" s="393"/>
      <c r="AC228" s="393"/>
      <c r="AD228" s="393"/>
      <c r="AE228" s="139">
        <f t="shared" si="14"/>
        <v>0</v>
      </c>
      <c r="AF228" s="139" t="str">
        <f>IF('Sch2a-Imp Price by ECM'!C229="Yes", 0, 'Sch2a-Imp Price by ECM'!L229)</f>
        <v/>
      </c>
      <c r="AG228" s="159" t="str">
        <f t="shared" si="15"/>
        <v/>
      </c>
      <c r="AH228" s="4" t="str">
        <f>IF('Sch2a-Imp Price by ECM'!M229="","",'Sch2a-Imp Price by ECM'!M229)</f>
        <v/>
      </c>
    </row>
    <row r="229" spans="1:34" ht="17" thickBot="1">
      <c r="A229" s="75" t="str">
        <f>IF('Sch2a-Imp Price by ECM'!B230="","",'Sch2a-Imp Price by ECM'!B230)</f>
        <v/>
      </c>
      <c r="B229" s="174" t="str">
        <f>IF('Sch2a-Imp Price by ECM'!D230="","",'Sch2a-Imp Price by ECM'!D230)</f>
        <v/>
      </c>
      <c r="C229" s="400" t="str">
        <f>IF('Sch2a-Imp Price by ECM'!G230="","",'Sch2a-Imp Price by ECM'!G230)</f>
        <v/>
      </c>
      <c r="D229" s="274"/>
      <c r="E229" s="391"/>
      <c r="F229" s="391"/>
      <c r="G229" s="391"/>
      <c r="H229" s="391"/>
      <c r="I229" s="276"/>
      <c r="J229" s="391"/>
      <c r="K229" s="275"/>
      <c r="L229" s="275"/>
      <c r="M229" s="275"/>
      <c r="N229" s="269"/>
      <c r="O229" s="391"/>
      <c r="P229" s="275"/>
      <c r="Q229" s="392"/>
      <c r="R229" s="275"/>
      <c r="S229" s="392"/>
      <c r="T229" s="393"/>
      <c r="U229" s="392"/>
      <c r="V229" s="393"/>
      <c r="W229" s="394"/>
      <c r="X229" s="393"/>
      <c r="Y229" s="390">
        <f t="shared" si="16"/>
        <v>0</v>
      </c>
      <c r="Z229" s="16">
        <f t="shared" si="13"/>
        <v>0</v>
      </c>
      <c r="AA229" s="392"/>
      <c r="AB229" s="393"/>
      <c r="AC229" s="393"/>
      <c r="AD229" s="393"/>
      <c r="AE229" s="139">
        <f t="shared" si="14"/>
        <v>0</v>
      </c>
      <c r="AF229" s="139" t="str">
        <f>IF('Sch2a-Imp Price by ECM'!C230="Yes", 0, 'Sch2a-Imp Price by ECM'!L230)</f>
        <v/>
      </c>
      <c r="AG229" s="159" t="str">
        <f t="shared" si="15"/>
        <v/>
      </c>
      <c r="AH229" s="4" t="str">
        <f>IF('Sch2a-Imp Price by ECM'!M230="","",'Sch2a-Imp Price by ECM'!M230)</f>
        <v/>
      </c>
    </row>
    <row r="230" spans="1:34" ht="17" thickBot="1">
      <c r="A230" s="75" t="str">
        <f>IF('Sch2a-Imp Price by ECM'!B231="","",'Sch2a-Imp Price by ECM'!B231)</f>
        <v/>
      </c>
      <c r="B230" s="174" t="str">
        <f>IF('Sch2a-Imp Price by ECM'!D231="","",'Sch2a-Imp Price by ECM'!D231)</f>
        <v/>
      </c>
      <c r="C230" s="400" t="str">
        <f>IF('Sch2a-Imp Price by ECM'!G231="","",'Sch2a-Imp Price by ECM'!G231)</f>
        <v/>
      </c>
      <c r="D230" s="274"/>
      <c r="E230" s="391"/>
      <c r="F230" s="391"/>
      <c r="G230" s="391"/>
      <c r="H230" s="391"/>
      <c r="I230" s="276"/>
      <c r="J230" s="391"/>
      <c r="K230" s="275"/>
      <c r="L230" s="275"/>
      <c r="M230" s="275"/>
      <c r="N230" s="269"/>
      <c r="O230" s="391"/>
      <c r="P230" s="275"/>
      <c r="Q230" s="392"/>
      <c r="R230" s="275"/>
      <c r="S230" s="392"/>
      <c r="T230" s="393"/>
      <c r="U230" s="392"/>
      <c r="V230" s="393"/>
      <c r="W230" s="394"/>
      <c r="X230" s="393"/>
      <c r="Y230" s="390">
        <f t="shared" si="16"/>
        <v>0</v>
      </c>
      <c r="Z230" s="16">
        <f t="shared" si="13"/>
        <v>0</v>
      </c>
      <c r="AA230" s="392"/>
      <c r="AB230" s="393"/>
      <c r="AC230" s="393"/>
      <c r="AD230" s="393"/>
      <c r="AE230" s="139">
        <f t="shared" si="14"/>
        <v>0</v>
      </c>
      <c r="AF230" s="139" t="str">
        <f>IF('Sch2a-Imp Price by ECM'!C231="Yes", 0, 'Sch2a-Imp Price by ECM'!L231)</f>
        <v/>
      </c>
      <c r="AG230" s="159" t="str">
        <f t="shared" si="15"/>
        <v/>
      </c>
      <c r="AH230" s="4" t="str">
        <f>IF('Sch2a-Imp Price by ECM'!M231="","",'Sch2a-Imp Price by ECM'!M231)</f>
        <v/>
      </c>
    </row>
    <row r="231" spans="1:34" ht="17" thickBot="1">
      <c r="A231" s="75" t="str">
        <f>IF('Sch2a-Imp Price by ECM'!B232="","",'Sch2a-Imp Price by ECM'!B232)</f>
        <v/>
      </c>
      <c r="B231" s="174" t="str">
        <f>IF('Sch2a-Imp Price by ECM'!D232="","",'Sch2a-Imp Price by ECM'!D232)</f>
        <v/>
      </c>
      <c r="C231" s="400" t="str">
        <f>IF('Sch2a-Imp Price by ECM'!G232="","",'Sch2a-Imp Price by ECM'!G232)</f>
        <v/>
      </c>
      <c r="D231" s="274"/>
      <c r="E231" s="391"/>
      <c r="F231" s="391"/>
      <c r="G231" s="391"/>
      <c r="H231" s="391"/>
      <c r="I231" s="276"/>
      <c r="J231" s="391"/>
      <c r="K231" s="275"/>
      <c r="L231" s="275"/>
      <c r="M231" s="275"/>
      <c r="N231" s="269"/>
      <c r="O231" s="391"/>
      <c r="P231" s="275"/>
      <c r="Q231" s="392"/>
      <c r="R231" s="275"/>
      <c r="S231" s="392"/>
      <c r="T231" s="393"/>
      <c r="U231" s="392"/>
      <c r="V231" s="393"/>
      <c r="W231" s="394"/>
      <c r="X231" s="393"/>
      <c r="Y231" s="390">
        <f t="shared" si="16"/>
        <v>0</v>
      </c>
      <c r="Z231" s="16">
        <f t="shared" si="13"/>
        <v>0</v>
      </c>
      <c r="AA231" s="392"/>
      <c r="AB231" s="393"/>
      <c r="AC231" s="393"/>
      <c r="AD231" s="393"/>
      <c r="AE231" s="139">
        <f t="shared" si="14"/>
        <v>0</v>
      </c>
      <c r="AF231" s="139" t="str">
        <f>IF('Sch2a-Imp Price by ECM'!C232="Yes", 0, 'Sch2a-Imp Price by ECM'!L232)</f>
        <v/>
      </c>
      <c r="AG231" s="159" t="str">
        <f t="shared" si="15"/>
        <v/>
      </c>
      <c r="AH231" s="4" t="str">
        <f>IF('Sch2a-Imp Price by ECM'!M232="","",'Sch2a-Imp Price by ECM'!M232)</f>
        <v/>
      </c>
    </row>
    <row r="232" spans="1:34" ht="17" thickBot="1">
      <c r="A232" s="75" t="str">
        <f>IF('Sch2a-Imp Price by ECM'!B233="","",'Sch2a-Imp Price by ECM'!B233)</f>
        <v/>
      </c>
      <c r="B232" s="174" t="str">
        <f>IF('Sch2a-Imp Price by ECM'!D233="","",'Sch2a-Imp Price by ECM'!D233)</f>
        <v/>
      </c>
      <c r="C232" s="400" t="str">
        <f>IF('Sch2a-Imp Price by ECM'!G233="","",'Sch2a-Imp Price by ECM'!G233)</f>
        <v/>
      </c>
      <c r="D232" s="274"/>
      <c r="E232" s="391"/>
      <c r="F232" s="391"/>
      <c r="G232" s="391"/>
      <c r="H232" s="391"/>
      <c r="I232" s="276"/>
      <c r="J232" s="391"/>
      <c r="K232" s="275"/>
      <c r="L232" s="275"/>
      <c r="M232" s="275"/>
      <c r="N232" s="269"/>
      <c r="O232" s="391"/>
      <c r="P232" s="275"/>
      <c r="Q232" s="392"/>
      <c r="R232" s="275"/>
      <c r="S232" s="392"/>
      <c r="T232" s="393"/>
      <c r="U232" s="392"/>
      <c r="V232" s="393"/>
      <c r="W232" s="394"/>
      <c r="X232" s="393"/>
      <c r="Y232" s="390">
        <f t="shared" si="16"/>
        <v>0</v>
      </c>
      <c r="Z232" s="16">
        <f t="shared" si="13"/>
        <v>0</v>
      </c>
      <c r="AA232" s="392"/>
      <c r="AB232" s="393"/>
      <c r="AC232" s="393"/>
      <c r="AD232" s="393"/>
      <c r="AE232" s="139">
        <f t="shared" si="14"/>
        <v>0</v>
      </c>
      <c r="AF232" s="139" t="str">
        <f>IF('Sch2a-Imp Price by ECM'!C233="Yes", 0, 'Sch2a-Imp Price by ECM'!L233)</f>
        <v/>
      </c>
      <c r="AG232" s="159" t="str">
        <f t="shared" si="15"/>
        <v/>
      </c>
      <c r="AH232" s="4" t="str">
        <f>IF('Sch2a-Imp Price by ECM'!M233="","",'Sch2a-Imp Price by ECM'!M233)</f>
        <v/>
      </c>
    </row>
    <row r="233" spans="1:34" ht="17" thickBot="1">
      <c r="A233" s="75" t="str">
        <f>IF('Sch2a-Imp Price by ECM'!B234="","",'Sch2a-Imp Price by ECM'!B234)</f>
        <v/>
      </c>
      <c r="B233" s="174" t="str">
        <f>IF('Sch2a-Imp Price by ECM'!D234="","",'Sch2a-Imp Price by ECM'!D234)</f>
        <v/>
      </c>
      <c r="C233" s="400" t="str">
        <f>IF('Sch2a-Imp Price by ECM'!G234="","",'Sch2a-Imp Price by ECM'!G234)</f>
        <v/>
      </c>
      <c r="D233" s="274"/>
      <c r="E233" s="391"/>
      <c r="F233" s="391"/>
      <c r="G233" s="391"/>
      <c r="H233" s="391"/>
      <c r="I233" s="276"/>
      <c r="J233" s="391"/>
      <c r="K233" s="275"/>
      <c r="L233" s="275"/>
      <c r="M233" s="275"/>
      <c r="N233" s="269"/>
      <c r="O233" s="391"/>
      <c r="P233" s="275"/>
      <c r="Q233" s="392"/>
      <c r="R233" s="275"/>
      <c r="S233" s="392"/>
      <c r="T233" s="393"/>
      <c r="U233" s="392"/>
      <c r="V233" s="393"/>
      <c r="W233" s="394"/>
      <c r="X233" s="393"/>
      <c r="Y233" s="390">
        <f t="shared" si="16"/>
        <v>0</v>
      </c>
      <c r="Z233" s="16">
        <f t="shared" si="13"/>
        <v>0</v>
      </c>
      <c r="AA233" s="392"/>
      <c r="AB233" s="393"/>
      <c r="AC233" s="393"/>
      <c r="AD233" s="393"/>
      <c r="AE233" s="139">
        <f t="shared" si="14"/>
        <v>0</v>
      </c>
      <c r="AF233" s="139" t="str">
        <f>IF('Sch2a-Imp Price by ECM'!C234="Yes", 0, 'Sch2a-Imp Price by ECM'!L234)</f>
        <v/>
      </c>
      <c r="AG233" s="159" t="str">
        <f t="shared" si="15"/>
        <v/>
      </c>
      <c r="AH233" s="4" t="str">
        <f>IF('Sch2a-Imp Price by ECM'!M234="","",'Sch2a-Imp Price by ECM'!M234)</f>
        <v/>
      </c>
    </row>
    <row r="234" spans="1:34" ht="17" thickBot="1">
      <c r="A234" s="75" t="str">
        <f>IF('Sch2a-Imp Price by ECM'!B235="","",'Sch2a-Imp Price by ECM'!B235)</f>
        <v/>
      </c>
      <c r="B234" s="174" t="str">
        <f>IF('Sch2a-Imp Price by ECM'!D235="","",'Sch2a-Imp Price by ECM'!D235)</f>
        <v/>
      </c>
      <c r="C234" s="400" t="str">
        <f>IF('Sch2a-Imp Price by ECM'!G235="","",'Sch2a-Imp Price by ECM'!G235)</f>
        <v/>
      </c>
      <c r="D234" s="274"/>
      <c r="E234" s="391"/>
      <c r="F234" s="391"/>
      <c r="G234" s="391"/>
      <c r="H234" s="391"/>
      <c r="I234" s="276"/>
      <c r="J234" s="391"/>
      <c r="K234" s="275"/>
      <c r="L234" s="275"/>
      <c r="M234" s="275"/>
      <c r="N234" s="269"/>
      <c r="O234" s="391"/>
      <c r="P234" s="275"/>
      <c r="Q234" s="392"/>
      <c r="R234" s="275"/>
      <c r="S234" s="392"/>
      <c r="T234" s="393"/>
      <c r="U234" s="392"/>
      <c r="V234" s="393"/>
      <c r="W234" s="394"/>
      <c r="X234" s="393"/>
      <c r="Y234" s="390">
        <f t="shared" si="16"/>
        <v>0</v>
      </c>
      <c r="Z234" s="16">
        <f t="shared" si="13"/>
        <v>0</v>
      </c>
      <c r="AA234" s="392"/>
      <c r="AB234" s="393"/>
      <c r="AC234" s="393"/>
      <c r="AD234" s="393"/>
      <c r="AE234" s="139">
        <f t="shared" si="14"/>
        <v>0</v>
      </c>
      <c r="AF234" s="139" t="str">
        <f>IF('Sch2a-Imp Price by ECM'!C235="Yes", 0, 'Sch2a-Imp Price by ECM'!L235)</f>
        <v/>
      </c>
      <c r="AG234" s="159" t="str">
        <f t="shared" si="15"/>
        <v/>
      </c>
      <c r="AH234" s="4" t="str">
        <f>IF('Sch2a-Imp Price by ECM'!M235="","",'Sch2a-Imp Price by ECM'!M235)</f>
        <v/>
      </c>
    </row>
    <row r="235" spans="1:34" ht="17" thickBot="1">
      <c r="A235" s="75" t="str">
        <f>IF('Sch2a-Imp Price by ECM'!B236="","",'Sch2a-Imp Price by ECM'!B236)</f>
        <v/>
      </c>
      <c r="B235" s="174" t="str">
        <f>IF('Sch2a-Imp Price by ECM'!D236="","",'Sch2a-Imp Price by ECM'!D236)</f>
        <v/>
      </c>
      <c r="C235" s="400" t="str">
        <f>IF('Sch2a-Imp Price by ECM'!G236="","",'Sch2a-Imp Price by ECM'!G236)</f>
        <v/>
      </c>
      <c r="D235" s="274"/>
      <c r="E235" s="391"/>
      <c r="F235" s="391"/>
      <c r="G235" s="391"/>
      <c r="H235" s="391"/>
      <c r="I235" s="276"/>
      <c r="J235" s="391"/>
      <c r="K235" s="275"/>
      <c r="L235" s="275"/>
      <c r="M235" s="275"/>
      <c r="N235" s="269"/>
      <c r="O235" s="391"/>
      <c r="P235" s="275"/>
      <c r="Q235" s="392"/>
      <c r="R235" s="275"/>
      <c r="S235" s="392"/>
      <c r="T235" s="393"/>
      <c r="U235" s="392"/>
      <c r="V235" s="393"/>
      <c r="W235" s="394"/>
      <c r="X235" s="393"/>
      <c r="Y235" s="390">
        <f t="shared" si="16"/>
        <v>0</v>
      </c>
      <c r="Z235" s="16">
        <f t="shared" si="13"/>
        <v>0</v>
      </c>
      <c r="AA235" s="392"/>
      <c r="AB235" s="393"/>
      <c r="AC235" s="393"/>
      <c r="AD235" s="393"/>
      <c r="AE235" s="139">
        <f t="shared" si="14"/>
        <v>0</v>
      </c>
      <c r="AF235" s="139" t="str">
        <f>IF('Sch2a-Imp Price by ECM'!C236="Yes", 0, 'Sch2a-Imp Price by ECM'!L236)</f>
        <v/>
      </c>
      <c r="AG235" s="159" t="str">
        <f t="shared" si="15"/>
        <v/>
      </c>
      <c r="AH235" s="4" t="str">
        <f>IF('Sch2a-Imp Price by ECM'!M236="","",'Sch2a-Imp Price by ECM'!M236)</f>
        <v/>
      </c>
    </row>
    <row r="236" spans="1:34" ht="17" thickBot="1">
      <c r="A236" s="75" t="str">
        <f>IF('Sch2a-Imp Price by ECM'!B237="","",'Sch2a-Imp Price by ECM'!B237)</f>
        <v/>
      </c>
      <c r="B236" s="174" t="str">
        <f>IF('Sch2a-Imp Price by ECM'!D237="","",'Sch2a-Imp Price by ECM'!D237)</f>
        <v/>
      </c>
      <c r="C236" s="400" t="str">
        <f>IF('Sch2a-Imp Price by ECM'!G237="","",'Sch2a-Imp Price by ECM'!G237)</f>
        <v/>
      </c>
      <c r="D236" s="274"/>
      <c r="E236" s="391"/>
      <c r="F236" s="391"/>
      <c r="G236" s="391"/>
      <c r="H236" s="391"/>
      <c r="I236" s="276"/>
      <c r="J236" s="391"/>
      <c r="K236" s="275"/>
      <c r="L236" s="275"/>
      <c r="M236" s="275"/>
      <c r="N236" s="269"/>
      <c r="O236" s="391"/>
      <c r="P236" s="275"/>
      <c r="Q236" s="392"/>
      <c r="R236" s="275"/>
      <c r="S236" s="392"/>
      <c r="T236" s="393"/>
      <c r="U236" s="392"/>
      <c r="V236" s="393"/>
      <c r="W236" s="394"/>
      <c r="X236" s="393"/>
      <c r="Y236" s="390">
        <f t="shared" si="16"/>
        <v>0</v>
      </c>
      <c r="Z236" s="16">
        <f t="shared" si="13"/>
        <v>0</v>
      </c>
      <c r="AA236" s="392"/>
      <c r="AB236" s="393"/>
      <c r="AC236" s="393"/>
      <c r="AD236" s="393"/>
      <c r="AE236" s="139">
        <f t="shared" si="14"/>
        <v>0</v>
      </c>
      <c r="AF236" s="139" t="str">
        <f>IF('Sch2a-Imp Price by ECM'!C237="Yes", 0, 'Sch2a-Imp Price by ECM'!L237)</f>
        <v/>
      </c>
      <c r="AG236" s="159" t="str">
        <f t="shared" si="15"/>
        <v/>
      </c>
      <c r="AH236" s="4" t="str">
        <f>IF('Sch2a-Imp Price by ECM'!M237="","",'Sch2a-Imp Price by ECM'!M237)</f>
        <v/>
      </c>
    </row>
    <row r="237" spans="1:34" ht="17" thickBot="1">
      <c r="A237" s="75" t="str">
        <f>IF('Sch2a-Imp Price by ECM'!B238="","",'Sch2a-Imp Price by ECM'!B238)</f>
        <v/>
      </c>
      <c r="B237" s="174" t="str">
        <f>IF('Sch2a-Imp Price by ECM'!D238="","",'Sch2a-Imp Price by ECM'!D238)</f>
        <v/>
      </c>
      <c r="C237" s="400" t="str">
        <f>IF('Sch2a-Imp Price by ECM'!G238="","",'Sch2a-Imp Price by ECM'!G238)</f>
        <v/>
      </c>
      <c r="D237" s="274"/>
      <c r="E237" s="391"/>
      <c r="F237" s="391"/>
      <c r="G237" s="391"/>
      <c r="H237" s="391"/>
      <c r="I237" s="276"/>
      <c r="J237" s="391"/>
      <c r="K237" s="275"/>
      <c r="L237" s="275"/>
      <c r="M237" s="275"/>
      <c r="N237" s="269"/>
      <c r="O237" s="391"/>
      <c r="P237" s="275"/>
      <c r="Q237" s="392"/>
      <c r="R237" s="275"/>
      <c r="S237" s="392"/>
      <c r="T237" s="393"/>
      <c r="U237" s="392"/>
      <c r="V237" s="393"/>
      <c r="W237" s="394"/>
      <c r="X237" s="393"/>
      <c r="Y237" s="390">
        <f t="shared" si="16"/>
        <v>0</v>
      </c>
      <c r="Z237" s="16">
        <f t="shared" si="13"/>
        <v>0</v>
      </c>
      <c r="AA237" s="392"/>
      <c r="AB237" s="393"/>
      <c r="AC237" s="393"/>
      <c r="AD237" s="393"/>
      <c r="AE237" s="139">
        <f t="shared" si="14"/>
        <v>0</v>
      </c>
      <c r="AF237" s="139" t="str">
        <f>IF('Sch2a-Imp Price by ECM'!C238="Yes", 0, 'Sch2a-Imp Price by ECM'!L238)</f>
        <v/>
      </c>
      <c r="AG237" s="159" t="str">
        <f t="shared" si="15"/>
        <v/>
      </c>
      <c r="AH237" s="4" t="str">
        <f>IF('Sch2a-Imp Price by ECM'!M238="","",'Sch2a-Imp Price by ECM'!M238)</f>
        <v/>
      </c>
    </row>
    <row r="238" spans="1:34" ht="17" thickBot="1">
      <c r="A238" s="75" t="str">
        <f>IF('Sch2a-Imp Price by ECM'!B239="","",'Sch2a-Imp Price by ECM'!B239)</f>
        <v/>
      </c>
      <c r="B238" s="174" t="str">
        <f>IF('Sch2a-Imp Price by ECM'!D239="","",'Sch2a-Imp Price by ECM'!D239)</f>
        <v/>
      </c>
      <c r="C238" s="400" t="str">
        <f>IF('Sch2a-Imp Price by ECM'!G239="","",'Sch2a-Imp Price by ECM'!G239)</f>
        <v/>
      </c>
      <c r="D238" s="274"/>
      <c r="E238" s="391"/>
      <c r="F238" s="391"/>
      <c r="G238" s="391"/>
      <c r="H238" s="391"/>
      <c r="I238" s="276"/>
      <c r="J238" s="391"/>
      <c r="K238" s="275"/>
      <c r="L238" s="275"/>
      <c r="M238" s="275"/>
      <c r="N238" s="269"/>
      <c r="O238" s="391"/>
      <c r="P238" s="275"/>
      <c r="Q238" s="392"/>
      <c r="R238" s="275"/>
      <c r="S238" s="392"/>
      <c r="T238" s="393"/>
      <c r="U238" s="392"/>
      <c r="V238" s="393"/>
      <c r="W238" s="394"/>
      <c r="X238" s="393"/>
      <c r="Y238" s="390">
        <f t="shared" si="16"/>
        <v>0</v>
      </c>
      <c r="Z238" s="16">
        <f t="shared" si="13"/>
        <v>0</v>
      </c>
      <c r="AA238" s="392"/>
      <c r="AB238" s="393"/>
      <c r="AC238" s="393"/>
      <c r="AD238" s="393"/>
      <c r="AE238" s="139">
        <f t="shared" si="14"/>
        <v>0</v>
      </c>
      <c r="AF238" s="139" t="str">
        <f>IF('Sch2a-Imp Price by ECM'!C239="Yes", 0, 'Sch2a-Imp Price by ECM'!L239)</f>
        <v/>
      </c>
      <c r="AG238" s="159" t="str">
        <f t="shared" si="15"/>
        <v/>
      </c>
      <c r="AH238" s="4" t="str">
        <f>IF('Sch2a-Imp Price by ECM'!M239="","",'Sch2a-Imp Price by ECM'!M239)</f>
        <v/>
      </c>
    </row>
    <row r="239" spans="1:34" ht="17" thickBot="1">
      <c r="A239" s="75" t="str">
        <f>IF('Sch2a-Imp Price by ECM'!B240="","",'Sch2a-Imp Price by ECM'!B240)</f>
        <v/>
      </c>
      <c r="B239" s="174" t="str">
        <f>IF('Sch2a-Imp Price by ECM'!D240="","",'Sch2a-Imp Price by ECM'!D240)</f>
        <v/>
      </c>
      <c r="C239" s="400" t="str">
        <f>IF('Sch2a-Imp Price by ECM'!G240="","",'Sch2a-Imp Price by ECM'!G240)</f>
        <v/>
      </c>
      <c r="D239" s="274"/>
      <c r="E239" s="391"/>
      <c r="F239" s="391"/>
      <c r="G239" s="391"/>
      <c r="H239" s="391"/>
      <c r="I239" s="276"/>
      <c r="J239" s="391"/>
      <c r="K239" s="275"/>
      <c r="L239" s="275"/>
      <c r="M239" s="275"/>
      <c r="N239" s="269"/>
      <c r="O239" s="391"/>
      <c r="P239" s="275"/>
      <c r="Q239" s="392"/>
      <c r="R239" s="275"/>
      <c r="S239" s="392"/>
      <c r="T239" s="393"/>
      <c r="U239" s="392"/>
      <c r="V239" s="393"/>
      <c r="W239" s="394"/>
      <c r="X239" s="393"/>
      <c r="Y239" s="390">
        <f t="shared" si="16"/>
        <v>0</v>
      </c>
      <c r="Z239" s="16">
        <f t="shared" si="13"/>
        <v>0</v>
      </c>
      <c r="AA239" s="392"/>
      <c r="AB239" s="393"/>
      <c r="AC239" s="393"/>
      <c r="AD239" s="393"/>
      <c r="AE239" s="139">
        <f t="shared" si="14"/>
        <v>0</v>
      </c>
      <c r="AF239" s="139" t="str">
        <f>IF('Sch2a-Imp Price by ECM'!C240="Yes", 0, 'Sch2a-Imp Price by ECM'!L240)</f>
        <v/>
      </c>
      <c r="AG239" s="159" t="str">
        <f t="shared" si="15"/>
        <v/>
      </c>
      <c r="AH239" s="4" t="str">
        <f>IF('Sch2a-Imp Price by ECM'!M240="","",'Sch2a-Imp Price by ECM'!M240)</f>
        <v/>
      </c>
    </row>
    <row r="240" spans="1:34" ht="17" thickBot="1">
      <c r="A240" s="75" t="str">
        <f>IF('Sch2a-Imp Price by ECM'!B241="","",'Sch2a-Imp Price by ECM'!B241)</f>
        <v/>
      </c>
      <c r="B240" s="174" t="str">
        <f>IF('Sch2a-Imp Price by ECM'!D241="","",'Sch2a-Imp Price by ECM'!D241)</f>
        <v/>
      </c>
      <c r="C240" s="400" t="str">
        <f>IF('Sch2a-Imp Price by ECM'!G241="","",'Sch2a-Imp Price by ECM'!G241)</f>
        <v/>
      </c>
      <c r="D240" s="274"/>
      <c r="E240" s="391"/>
      <c r="F240" s="391"/>
      <c r="G240" s="391"/>
      <c r="H240" s="391"/>
      <c r="I240" s="276"/>
      <c r="J240" s="391"/>
      <c r="K240" s="275"/>
      <c r="L240" s="275"/>
      <c r="M240" s="275"/>
      <c r="N240" s="276"/>
      <c r="O240" s="391"/>
      <c r="P240" s="275"/>
      <c r="Q240" s="392"/>
      <c r="R240" s="275"/>
      <c r="S240" s="392"/>
      <c r="T240" s="393"/>
      <c r="U240" s="392"/>
      <c r="V240" s="393"/>
      <c r="W240" s="394"/>
      <c r="X240" s="393"/>
      <c r="Y240" s="390">
        <f t="shared" si="16"/>
        <v>0</v>
      </c>
      <c r="Z240" s="16">
        <f t="shared" si="13"/>
        <v>0</v>
      </c>
      <c r="AA240" s="392"/>
      <c r="AB240" s="393"/>
      <c r="AC240" s="393"/>
      <c r="AD240" s="393"/>
      <c r="AE240" s="139">
        <f t="shared" si="14"/>
        <v>0</v>
      </c>
      <c r="AF240" s="139" t="str">
        <f>IF('Sch2a-Imp Price by ECM'!C241="Yes", 0, 'Sch2a-Imp Price by ECM'!L241)</f>
        <v/>
      </c>
      <c r="AG240" s="159" t="str">
        <f t="shared" si="15"/>
        <v/>
      </c>
      <c r="AH240" s="4" t="str">
        <f>IF('Sch2a-Imp Price by ECM'!M241="","",'Sch2a-Imp Price by ECM'!M241)</f>
        <v/>
      </c>
    </row>
    <row r="241" spans="1:34" ht="17" thickBot="1">
      <c r="A241" s="75" t="str">
        <f>IF('Sch2a-Imp Price by ECM'!B242="","",'Sch2a-Imp Price by ECM'!B242)</f>
        <v/>
      </c>
      <c r="B241" s="174" t="str">
        <f>IF('Sch2a-Imp Price by ECM'!D242="","",'Sch2a-Imp Price by ECM'!D242)</f>
        <v/>
      </c>
      <c r="C241" s="400" t="str">
        <f>IF('Sch2a-Imp Price by ECM'!G242="","",'Sch2a-Imp Price by ECM'!G242)</f>
        <v/>
      </c>
      <c r="D241" s="274"/>
      <c r="E241" s="391"/>
      <c r="F241" s="391"/>
      <c r="G241" s="391"/>
      <c r="H241" s="391"/>
      <c r="I241" s="276"/>
      <c r="J241" s="391"/>
      <c r="K241" s="275"/>
      <c r="L241" s="275"/>
      <c r="M241" s="275"/>
      <c r="N241" s="276"/>
      <c r="O241" s="391"/>
      <c r="P241" s="275"/>
      <c r="Q241" s="392"/>
      <c r="R241" s="275"/>
      <c r="S241" s="392"/>
      <c r="T241" s="393"/>
      <c r="U241" s="392"/>
      <c r="V241" s="393"/>
      <c r="W241" s="394"/>
      <c r="X241" s="393"/>
      <c r="Y241" s="390">
        <f t="shared" si="16"/>
        <v>0</v>
      </c>
      <c r="Z241" s="16">
        <f t="shared" si="13"/>
        <v>0</v>
      </c>
      <c r="AA241" s="392"/>
      <c r="AB241" s="393"/>
      <c r="AC241" s="393"/>
      <c r="AD241" s="393"/>
      <c r="AE241" s="139">
        <f t="shared" si="14"/>
        <v>0</v>
      </c>
      <c r="AF241" s="139" t="str">
        <f>IF('Sch2a-Imp Price by ECM'!C242="Yes", 0, 'Sch2a-Imp Price by ECM'!L242)</f>
        <v/>
      </c>
      <c r="AG241" s="159" t="str">
        <f t="shared" si="15"/>
        <v/>
      </c>
      <c r="AH241" s="4" t="str">
        <f>IF('Sch2a-Imp Price by ECM'!M242="","",'Sch2a-Imp Price by ECM'!M242)</f>
        <v/>
      </c>
    </row>
    <row r="242" spans="1:34" ht="17" thickBot="1">
      <c r="A242" s="75" t="str">
        <f>IF('Sch2a-Imp Price by ECM'!B243="","",'Sch2a-Imp Price by ECM'!B243)</f>
        <v/>
      </c>
      <c r="B242" s="174" t="str">
        <f>IF('Sch2a-Imp Price by ECM'!D243="","",'Sch2a-Imp Price by ECM'!D243)</f>
        <v/>
      </c>
      <c r="C242" s="400" t="str">
        <f>IF('Sch2a-Imp Price by ECM'!G243="","",'Sch2a-Imp Price by ECM'!G243)</f>
        <v/>
      </c>
      <c r="D242" s="274"/>
      <c r="E242" s="391"/>
      <c r="F242" s="391"/>
      <c r="G242" s="391"/>
      <c r="H242" s="391"/>
      <c r="I242" s="276"/>
      <c r="J242" s="391"/>
      <c r="K242" s="275"/>
      <c r="L242" s="275"/>
      <c r="M242" s="275"/>
      <c r="N242" s="276"/>
      <c r="O242" s="391"/>
      <c r="P242" s="275"/>
      <c r="Q242" s="392"/>
      <c r="R242" s="275"/>
      <c r="S242" s="392"/>
      <c r="T242" s="393"/>
      <c r="U242" s="392"/>
      <c r="V242" s="393"/>
      <c r="W242" s="394"/>
      <c r="X242" s="393"/>
      <c r="Y242" s="390">
        <f t="shared" si="16"/>
        <v>0</v>
      </c>
      <c r="Z242" s="16">
        <f t="shared" si="13"/>
        <v>0</v>
      </c>
      <c r="AA242" s="392"/>
      <c r="AB242" s="393"/>
      <c r="AC242" s="393"/>
      <c r="AD242" s="393"/>
      <c r="AE242" s="139">
        <f t="shared" si="14"/>
        <v>0</v>
      </c>
      <c r="AF242" s="139" t="str">
        <f>IF('Sch2a-Imp Price by ECM'!C243="Yes", 0, 'Sch2a-Imp Price by ECM'!L243)</f>
        <v/>
      </c>
      <c r="AG242" s="159" t="str">
        <f t="shared" si="15"/>
        <v/>
      </c>
      <c r="AH242" s="4" t="str">
        <f>IF('Sch2a-Imp Price by ECM'!M243="","",'Sch2a-Imp Price by ECM'!M243)</f>
        <v/>
      </c>
    </row>
    <row r="243" spans="1:34" ht="17" thickBot="1">
      <c r="A243" s="75" t="str">
        <f>IF('Sch2a-Imp Price by ECM'!B244="","",'Sch2a-Imp Price by ECM'!B244)</f>
        <v/>
      </c>
      <c r="B243" s="174" t="str">
        <f>IF('Sch2a-Imp Price by ECM'!D244="","",'Sch2a-Imp Price by ECM'!D244)</f>
        <v/>
      </c>
      <c r="C243" s="400" t="str">
        <f>IF('Sch2a-Imp Price by ECM'!G244="","",'Sch2a-Imp Price by ECM'!G244)</f>
        <v/>
      </c>
      <c r="D243" s="274"/>
      <c r="E243" s="391"/>
      <c r="F243" s="391"/>
      <c r="G243" s="391"/>
      <c r="H243" s="391"/>
      <c r="I243" s="276"/>
      <c r="J243" s="391"/>
      <c r="K243" s="275"/>
      <c r="L243" s="275"/>
      <c r="M243" s="275"/>
      <c r="N243" s="276"/>
      <c r="O243" s="391"/>
      <c r="P243" s="275"/>
      <c r="Q243" s="392"/>
      <c r="R243" s="275"/>
      <c r="S243" s="392"/>
      <c r="T243" s="393"/>
      <c r="U243" s="392"/>
      <c r="V243" s="393"/>
      <c r="W243" s="394"/>
      <c r="X243" s="393"/>
      <c r="Y243" s="390">
        <f t="shared" si="16"/>
        <v>0</v>
      </c>
      <c r="Z243" s="16">
        <f t="shared" si="13"/>
        <v>0</v>
      </c>
      <c r="AA243" s="392"/>
      <c r="AB243" s="393"/>
      <c r="AC243" s="393"/>
      <c r="AD243" s="393"/>
      <c r="AE243" s="139">
        <f t="shared" si="14"/>
        <v>0</v>
      </c>
      <c r="AF243" s="139" t="str">
        <f>IF('Sch2a-Imp Price by ECM'!C244="Yes", 0, 'Sch2a-Imp Price by ECM'!L244)</f>
        <v/>
      </c>
      <c r="AG243" s="159" t="str">
        <f t="shared" si="15"/>
        <v/>
      </c>
      <c r="AH243" s="4" t="str">
        <f>IF('Sch2a-Imp Price by ECM'!M244="","",'Sch2a-Imp Price by ECM'!M244)</f>
        <v/>
      </c>
    </row>
    <row r="244" spans="1:34" ht="18" customHeight="1" thickBot="1">
      <c r="A244" s="75" t="str">
        <f>IF('Sch2a-Imp Price by ECM'!B245="","",'Sch2a-Imp Price by ECM'!B245)</f>
        <v/>
      </c>
      <c r="B244" s="174" t="str">
        <f>IF('Sch2a-Imp Price by ECM'!D245="","",'Sch2a-Imp Price by ECM'!D245)</f>
        <v/>
      </c>
      <c r="C244" s="400" t="str">
        <f>IF('Sch2a-Imp Price by ECM'!G245="","",'Sch2a-Imp Price by ECM'!G245)</f>
        <v/>
      </c>
      <c r="D244" s="274"/>
      <c r="E244" s="391"/>
      <c r="F244" s="391"/>
      <c r="G244" s="391"/>
      <c r="H244" s="391"/>
      <c r="I244" s="276"/>
      <c r="J244" s="391"/>
      <c r="K244" s="275"/>
      <c r="L244" s="275"/>
      <c r="M244" s="275"/>
      <c r="N244" s="276"/>
      <c r="O244" s="391"/>
      <c r="P244" s="275"/>
      <c r="Q244" s="392"/>
      <c r="R244" s="275"/>
      <c r="S244" s="392"/>
      <c r="T244" s="393"/>
      <c r="U244" s="392"/>
      <c r="V244" s="393"/>
      <c r="W244" s="394"/>
      <c r="X244" s="393"/>
      <c r="Y244" s="390">
        <f t="shared" si="16"/>
        <v>0</v>
      </c>
      <c r="Z244" s="16">
        <f t="shared" si="13"/>
        <v>0</v>
      </c>
      <c r="AA244" s="392"/>
      <c r="AB244" s="393"/>
      <c r="AC244" s="393"/>
      <c r="AD244" s="393"/>
      <c r="AE244" s="139">
        <f t="shared" si="14"/>
        <v>0</v>
      </c>
      <c r="AF244" s="139" t="str">
        <f>IF('Sch2a-Imp Price by ECM'!C245="Yes", 0, 'Sch2a-Imp Price by ECM'!L245)</f>
        <v/>
      </c>
      <c r="AG244" s="159" t="str">
        <f t="shared" si="15"/>
        <v/>
      </c>
      <c r="AH244" s="4" t="str">
        <f>IF('Sch2a-Imp Price by ECM'!M245="","",'Sch2a-Imp Price by ECM'!M245)</f>
        <v/>
      </c>
    </row>
    <row r="245" spans="1:34" ht="17" thickBot="1">
      <c r="A245" s="75" t="str">
        <f>IF('Sch2a-Imp Price by ECM'!B246="","",'Sch2a-Imp Price by ECM'!B246)</f>
        <v/>
      </c>
      <c r="B245" s="174" t="str">
        <f>IF('Sch2a-Imp Price by ECM'!D246="","",'Sch2a-Imp Price by ECM'!D246)</f>
        <v/>
      </c>
      <c r="C245" s="400" t="str">
        <f>IF('Sch2a-Imp Price by ECM'!G246="","",'Sch2a-Imp Price by ECM'!G246)</f>
        <v/>
      </c>
      <c r="D245" s="274"/>
      <c r="E245" s="391"/>
      <c r="F245" s="391"/>
      <c r="G245" s="391"/>
      <c r="H245" s="391"/>
      <c r="I245" s="276"/>
      <c r="J245" s="391"/>
      <c r="K245" s="275"/>
      <c r="L245" s="275"/>
      <c r="M245" s="275"/>
      <c r="N245" s="276"/>
      <c r="O245" s="391"/>
      <c r="P245" s="275"/>
      <c r="Q245" s="392"/>
      <c r="R245" s="275"/>
      <c r="S245" s="392"/>
      <c r="T245" s="393"/>
      <c r="U245" s="392"/>
      <c r="V245" s="393"/>
      <c r="W245" s="394"/>
      <c r="X245" s="393"/>
      <c r="Y245" s="390">
        <f t="shared" si="16"/>
        <v>0</v>
      </c>
      <c r="Z245" s="16">
        <f t="shared" si="13"/>
        <v>0</v>
      </c>
      <c r="AA245" s="392"/>
      <c r="AB245" s="393"/>
      <c r="AC245" s="393"/>
      <c r="AD245" s="393"/>
      <c r="AE245" s="139">
        <f t="shared" si="14"/>
        <v>0</v>
      </c>
      <c r="AF245" s="139" t="str">
        <f>IF('Sch2a-Imp Price by ECM'!C246="Yes", 0, 'Sch2a-Imp Price by ECM'!L246)</f>
        <v/>
      </c>
      <c r="AG245" s="159" t="str">
        <f t="shared" si="15"/>
        <v/>
      </c>
      <c r="AH245" s="4" t="str">
        <f>IF('Sch2a-Imp Price by ECM'!M246="","",'Sch2a-Imp Price by ECM'!M246)</f>
        <v/>
      </c>
    </row>
    <row r="246" spans="1:34" ht="17" thickBot="1">
      <c r="A246" s="75" t="str">
        <f>IF('Sch2a-Imp Price by ECM'!B247="","",'Sch2a-Imp Price by ECM'!B247)</f>
        <v/>
      </c>
      <c r="B246" s="174" t="str">
        <f>IF('Sch2a-Imp Price by ECM'!D247="","",'Sch2a-Imp Price by ECM'!D247)</f>
        <v/>
      </c>
      <c r="C246" s="400" t="str">
        <f>IF('Sch2a-Imp Price by ECM'!G247="","",'Sch2a-Imp Price by ECM'!G247)</f>
        <v/>
      </c>
      <c r="D246" s="274"/>
      <c r="E246" s="391"/>
      <c r="F246" s="391"/>
      <c r="G246" s="391"/>
      <c r="H246" s="391"/>
      <c r="I246" s="276"/>
      <c r="J246" s="391"/>
      <c r="K246" s="275"/>
      <c r="L246" s="275"/>
      <c r="M246" s="275"/>
      <c r="N246" s="276"/>
      <c r="O246" s="391"/>
      <c r="P246" s="275"/>
      <c r="Q246" s="392"/>
      <c r="R246" s="275"/>
      <c r="S246" s="392"/>
      <c r="T246" s="393"/>
      <c r="U246" s="392"/>
      <c r="V246" s="393"/>
      <c r="W246" s="394"/>
      <c r="X246" s="393"/>
      <c r="Y246" s="390">
        <f t="shared" si="16"/>
        <v>0</v>
      </c>
      <c r="Z246" s="16">
        <f t="shared" si="13"/>
        <v>0</v>
      </c>
      <c r="AA246" s="392"/>
      <c r="AB246" s="393"/>
      <c r="AC246" s="393"/>
      <c r="AD246" s="393"/>
      <c r="AE246" s="139">
        <f t="shared" si="14"/>
        <v>0</v>
      </c>
      <c r="AF246" s="139" t="str">
        <f>IF('Sch2a-Imp Price by ECM'!C247="Yes", 0, 'Sch2a-Imp Price by ECM'!L247)</f>
        <v/>
      </c>
      <c r="AG246" s="159" t="str">
        <f t="shared" si="15"/>
        <v/>
      </c>
      <c r="AH246" s="4" t="str">
        <f>IF('Sch2a-Imp Price by ECM'!M247="","",'Sch2a-Imp Price by ECM'!M247)</f>
        <v/>
      </c>
    </row>
    <row r="247" spans="1:34" ht="17" thickBot="1">
      <c r="A247" s="75" t="str">
        <f>IF('Sch2a-Imp Price by ECM'!B248="","",'Sch2a-Imp Price by ECM'!B248)</f>
        <v/>
      </c>
      <c r="B247" s="174" t="str">
        <f>IF('Sch2a-Imp Price by ECM'!D248="","",'Sch2a-Imp Price by ECM'!D248)</f>
        <v/>
      </c>
      <c r="C247" s="400" t="str">
        <f>IF('Sch2a-Imp Price by ECM'!G248="","",'Sch2a-Imp Price by ECM'!G248)</f>
        <v/>
      </c>
      <c r="D247" s="274"/>
      <c r="E247" s="391"/>
      <c r="F247" s="391"/>
      <c r="G247" s="391"/>
      <c r="H247" s="391"/>
      <c r="I247" s="276"/>
      <c r="J247" s="391"/>
      <c r="K247" s="275"/>
      <c r="L247" s="275"/>
      <c r="M247" s="275"/>
      <c r="N247" s="269"/>
      <c r="O247" s="391"/>
      <c r="P247" s="275"/>
      <c r="Q247" s="392"/>
      <c r="R247" s="275"/>
      <c r="S247" s="392"/>
      <c r="T247" s="393"/>
      <c r="U247" s="392"/>
      <c r="V247" s="393"/>
      <c r="W247" s="394"/>
      <c r="X247" s="393"/>
      <c r="Y247" s="390">
        <f t="shared" si="16"/>
        <v>0</v>
      </c>
      <c r="Z247" s="16">
        <f t="shared" si="13"/>
        <v>0</v>
      </c>
      <c r="AA247" s="392"/>
      <c r="AB247" s="393"/>
      <c r="AC247" s="393"/>
      <c r="AD247" s="393"/>
      <c r="AE247" s="139">
        <f t="shared" si="14"/>
        <v>0</v>
      </c>
      <c r="AF247" s="139" t="str">
        <f>IF('Sch2a-Imp Price by ECM'!C248="Yes", 0, 'Sch2a-Imp Price by ECM'!L248)</f>
        <v/>
      </c>
      <c r="AG247" s="159" t="str">
        <f t="shared" si="15"/>
        <v/>
      </c>
      <c r="AH247" s="4" t="str">
        <f>IF('Sch2a-Imp Price by ECM'!M248="","",'Sch2a-Imp Price by ECM'!M248)</f>
        <v/>
      </c>
    </row>
    <row r="248" spans="1:34" ht="17" thickBot="1">
      <c r="A248" s="75" t="str">
        <f>IF('Sch2a-Imp Price by ECM'!B249="","",'Sch2a-Imp Price by ECM'!B249)</f>
        <v/>
      </c>
      <c r="B248" s="174" t="str">
        <f>IF('Sch2a-Imp Price by ECM'!D249="","",'Sch2a-Imp Price by ECM'!D249)</f>
        <v/>
      </c>
      <c r="C248" s="400" t="str">
        <f>IF('Sch2a-Imp Price by ECM'!G249="","",'Sch2a-Imp Price by ECM'!G249)</f>
        <v/>
      </c>
      <c r="D248" s="274"/>
      <c r="E248" s="391"/>
      <c r="F248" s="391"/>
      <c r="G248" s="391"/>
      <c r="H248" s="391"/>
      <c r="I248" s="276"/>
      <c r="J248" s="391"/>
      <c r="K248" s="275"/>
      <c r="L248" s="275"/>
      <c r="M248" s="275"/>
      <c r="N248" s="269"/>
      <c r="O248" s="391"/>
      <c r="P248" s="275"/>
      <c r="Q248" s="392"/>
      <c r="R248" s="275"/>
      <c r="S248" s="392"/>
      <c r="T248" s="393"/>
      <c r="U248" s="392"/>
      <c r="V248" s="393"/>
      <c r="W248" s="394"/>
      <c r="X248" s="393"/>
      <c r="Y248" s="390">
        <f t="shared" si="16"/>
        <v>0</v>
      </c>
      <c r="Z248" s="16">
        <f t="shared" si="13"/>
        <v>0</v>
      </c>
      <c r="AA248" s="392"/>
      <c r="AB248" s="393"/>
      <c r="AC248" s="393"/>
      <c r="AD248" s="393"/>
      <c r="AE248" s="139">
        <f t="shared" si="14"/>
        <v>0</v>
      </c>
      <c r="AF248" s="139" t="str">
        <f>IF('Sch2a-Imp Price by ECM'!C249="Yes", 0, 'Sch2a-Imp Price by ECM'!L249)</f>
        <v/>
      </c>
      <c r="AG248" s="159" t="str">
        <f t="shared" si="15"/>
        <v/>
      </c>
      <c r="AH248" s="4" t="str">
        <f>IF('Sch2a-Imp Price by ECM'!M249="","",'Sch2a-Imp Price by ECM'!M249)</f>
        <v/>
      </c>
    </row>
    <row r="249" spans="1:34" ht="17" thickBot="1">
      <c r="A249" s="75" t="str">
        <f>IF('Sch2a-Imp Price by ECM'!B250="","",'Sch2a-Imp Price by ECM'!B250)</f>
        <v/>
      </c>
      <c r="B249" s="174" t="str">
        <f>IF('Sch2a-Imp Price by ECM'!D250="","",'Sch2a-Imp Price by ECM'!D250)</f>
        <v/>
      </c>
      <c r="C249" s="400" t="str">
        <f>IF('Sch2a-Imp Price by ECM'!G250="","",'Sch2a-Imp Price by ECM'!G250)</f>
        <v/>
      </c>
      <c r="D249" s="274"/>
      <c r="E249" s="391"/>
      <c r="F249" s="391"/>
      <c r="G249" s="391"/>
      <c r="H249" s="391"/>
      <c r="I249" s="276"/>
      <c r="J249" s="391"/>
      <c r="K249" s="275"/>
      <c r="L249" s="275"/>
      <c r="M249" s="275"/>
      <c r="N249" s="269"/>
      <c r="O249" s="391"/>
      <c r="P249" s="275"/>
      <c r="Q249" s="392"/>
      <c r="R249" s="275"/>
      <c r="S249" s="392"/>
      <c r="T249" s="393"/>
      <c r="U249" s="392"/>
      <c r="V249" s="393"/>
      <c r="W249" s="394"/>
      <c r="X249" s="393"/>
      <c r="Y249" s="390">
        <f t="shared" si="16"/>
        <v>0</v>
      </c>
      <c r="Z249" s="16">
        <f t="shared" si="13"/>
        <v>0</v>
      </c>
      <c r="AA249" s="392"/>
      <c r="AB249" s="393"/>
      <c r="AC249" s="393"/>
      <c r="AD249" s="393"/>
      <c r="AE249" s="139">
        <f t="shared" si="14"/>
        <v>0</v>
      </c>
      <c r="AF249" s="139" t="str">
        <f>IF('Sch2a-Imp Price by ECM'!C250="Yes", 0, 'Sch2a-Imp Price by ECM'!L250)</f>
        <v/>
      </c>
      <c r="AG249" s="159" t="str">
        <f t="shared" si="15"/>
        <v/>
      </c>
      <c r="AH249" s="4" t="str">
        <f>IF('Sch2a-Imp Price by ECM'!M250="","",'Sch2a-Imp Price by ECM'!M250)</f>
        <v/>
      </c>
    </row>
    <row r="250" spans="1:34" ht="17" thickBot="1">
      <c r="A250" s="75" t="str">
        <f>IF('Sch2a-Imp Price by ECM'!B251="","",'Sch2a-Imp Price by ECM'!B251)</f>
        <v/>
      </c>
      <c r="B250" s="174" t="str">
        <f>IF('Sch2a-Imp Price by ECM'!D251="","",'Sch2a-Imp Price by ECM'!D251)</f>
        <v/>
      </c>
      <c r="C250" s="400" t="str">
        <f>IF('Sch2a-Imp Price by ECM'!G251="","",'Sch2a-Imp Price by ECM'!G251)</f>
        <v/>
      </c>
      <c r="D250" s="274"/>
      <c r="E250" s="391"/>
      <c r="F250" s="391"/>
      <c r="G250" s="391"/>
      <c r="H250" s="391"/>
      <c r="I250" s="276"/>
      <c r="J250" s="391"/>
      <c r="K250" s="275"/>
      <c r="L250" s="275"/>
      <c r="M250" s="275"/>
      <c r="N250" s="269"/>
      <c r="O250" s="391"/>
      <c r="P250" s="275"/>
      <c r="Q250" s="392"/>
      <c r="R250" s="275"/>
      <c r="S250" s="392"/>
      <c r="T250" s="393"/>
      <c r="U250" s="392"/>
      <c r="V250" s="393"/>
      <c r="W250" s="394"/>
      <c r="X250" s="393"/>
      <c r="Y250" s="390">
        <f t="shared" si="16"/>
        <v>0</v>
      </c>
      <c r="Z250" s="16">
        <f t="shared" si="13"/>
        <v>0</v>
      </c>
      <c r="AA250" s="392"/>
      <c r="AB250" s="393"/>
      <c r="AC250" s="393"/>
      <c r="AD250" s="393"/>
      <c r="AE250" s="139">
        <f t="shared" si="14"/>
        <v>0</v>
      </c>
      <c r="AF250" s="139" t="str">
        <f>IF('Sch2a-Imp Price by ECM'!C251="Yes", 0, 'Sch2a-Imp Price by ECM'!L251)</f>
        <v/>
      </c>
      <c r="AG250" s="159" t="str">
        <f t="shared" si="15"/>
        <v/>
      </c>
      <c r="AH250" s="4" t="str">
        <f>IF('Sch2a-Imp Price by ECM'!M251="","",'Sch2a-Imp Price by ECM'!M251)</f>
        <v/>
      </c>
    </row>
    <row r="251" spans="1:34" ht="17" thickBot="1">
      <c r="A251" s="75" t="str">
        <f>IF('Sch2a-Imp Price by ECM'!B252="","",'Sch2a-Imp Price by ECM'!B252)</f>
        <v/>
      </c>
      <c r="B251" s="174" t="str">
        <f>IF('Sch2a-Imp Price by ECM'!D252="","",'Sch2a-Imp Price by ECM'!D252)</f>
        <v/>
      </c>
      <c r="C251" s="400" t="str">
        <f>IF('Sch2a-Imp Price by ECM'!G252="","",'Sch2a-Imp Price by ECM'!G252)</f>
        <v/>
      </c>
      <c r="D251" s="274"/>
      <c r="E251" s="391"/>
      <c r="F251" s="391"/>
      <c r="G251" s="391"/>
      <c r="H251" s="391"/>
      <c r="I251" s="276"/>
      <c r="J251" s="391"/>
      <c r="K251" s="275"/>
      <c r="L251" s="275"/>
      <c r="M251" s="275"/>
      <c r="N251" s="269"/>
      <c r="O251" s="391"/>
      <c r="P251" s="275"/>
      <c r="Q251" s="392"/>
      <c r="R251" s="275"/>
      <c r="S251" s="392"/>
      <c r="T251" s="393"/>
      <c r="U251" s="392"/>
      <c r="V251" s="393"/>
      <c r="W251" s="394"/>
      <c r="X251" s="393"/>
      <c r="Y251" s="390">
        <f t="shared" si="16"/>
        <v>0</v>
      </c>
      <c r="Z251" s="16">
        <f t="shared" si="13"/>
        <v>0</v>
      </c>
      <c r="AA251" s="392"/>
      <c r="AB251" s="393"/>
      <c r="AC251" s="393"/>
      <c r="AD251" s="393"/>
      <c r="AE251" s="139">
        <f t="shared" si="14"/>
        <v>0</v>
      </c>
      <c r="AF251" s="139" t="str">
        <f>IF('Sch2a-Imp Price by ECM'!C252="Yes", 0, 'Sch2a-Imp Price by ECM'!L252)</f>
        <v/>
      </c>
      <c r="AG251" s="159" t="str">
        <f t="shared" si="15"/>
        <v/>
      </c>
      <c r="AH251" s="4" t="str">
        <f>IF('Sch2a-Imp Price by ECM'!M252="","",'Sch2a-Imp Price by ECM'!M252)</f>
        <v/>
      </c>
    </row>
    <row r="252" spans="1:34" ht="17" thickBot="1">
      <c r="A252" s="75" t="str">
        <f>IF('Sch2a-Imp Price by ECM'!B253="","",'Sch2a-Imp Price by ECM'!B253)</f>
        <v/>
      </c>
      <c r="B252" s="174" t="str">
        <f>IF('Sch2a-Imp Price by ECM'!D253="","",'Sch2a-Imp Price by ECM'!D253)</f>
        <v/>
      </c>
      <c r="C252" s="400" t="str">
        <f>IF('Sch2a-Imp Price by ECM'!G253="","",'Sch2a-Imp Price by ECM'!G253)</f>
        <v/>
      </c>
      <c r="D252" s="274"/>
      <c r="E252" s="391"/>
      <c r="F252" s="391"/>
      <c r="G252" s="391"/>
      <c r="H252" s="391"/>
      <c r="I252" s="276"/>
      <c r="J252" s="391"/>
      <c r="K252" s="275"/>
      <c r="L252" s="275"/>
      <c r="M252" s="275"/>
      <c r="N252" s="269"/>
      <c r="O252" s="391"/>
      <c r="P252" s="275"/>
      <c r="Q252" s="392"/>
      <c r="R252" s="275"/>
      <c r="S252" s="392"/>
      <c r="T252" s="393"/>
      <c r="U252" s="392"/>
      <c r="V252" s="393"/>
      <c r="W252" s="394"/>
      <c r="X252" s="393"/>
      <c r="Y252" s="390">
        <f t="shared" si="16"/>
        <v>0</v>
      </c>
      <c r="Z252" s="16">
        <f t="shared" si="13"/>
        <v>0</v>
      </c>
      <c r="AA252" s="392"/>
      <c r="AB252" s="393"/>
      <c r="AC252" s="393"/>
      <c r="AD252" s="393"/>
      <c r="AE252" s="139">
        <f t="shared" si="14"/>
        <v>0</v>
      </c>
      <c r="AF252" s="139" t="str">
        <f>IF('Sch2a-Imp Price by ECM'!C253="Yes", 0, 'Sch2a-Imp Price by ECM'!L253)</f>
        <v/>
      </c>
      <c r="AG252" s="159" t="str">
        <f t="shared" si="15"/>
        <v/>
      </c>
      <c r="AH252" s="4" t="str">
        <f>IF('Sch2a-Imp Price by ECM'!M253="","",'Sch2a-Imp Price by ECM'!M253)</f>
        <v/>
      </c>
    </row>
    <row r="253" spans="1:34" ht="17" thickBot="1">
      <c r="A253" s="75" t="str">
        <f>IF('Sch2a-Imp Price by ECM'!B254="","",'Sch2a-Imp Price by ECM'!B254)</f>
        <v/>
      </c>
      <c r="B253" s="174" t="str">
        <f>IF('Sch2a-Imp Price by ECM'!D254="","",'Sch2a-Imp Price by ECM'!D254)</f>
        <v/>
      </c>
      <c r="C253" s="400" t="str">
        <f>IF('Sch2a-Imp Price by ECM'!G254="","",'Sch2a-Imp Price by ECM'!G254)</f>
        <v/>
      </c>
      <c r="D253" s="274"/>
      <c r="E253" s="391"/>
      <c r="F253" s="391"/>
      <c r="G253" s="391"/>
      <c r="H253" s="391"/>
      <c r="I253" s="276"/>
      <c r="J253" s="391"/>
      <c r="K253" s="275"/>
      <c r="L253" s="275"/>
      <c r="M253" s="275"/>
      <c r="N253" s="269"/>
      <c r="O253" s="391"/>
      <c r="P253" s="275"/>
      <c r="Q253" s="392"/>
      <c r="R253" s="275"/>
      <c r="S253" s="392"/>
      <c r="T253" s="393"/>
      <c r="U253" s="392"/>
      <c r="V253" s="393"/>
      <c r="W253" s="394"/>
      <c r="X253" s="393"/>
      <c r="Y253" s="390">
        <f t="shared" si="16"/>
        <v>0</v>
      </c>
      <c r="Z253" s="16">
        <f t="shared" si="13"/>
        <v>0</v>
      </c>
      <c r="AA253" s="392"/>
      <c r="AB253" s="393"/>
      <c r="AC253" s="393"/>
      <c r="AD253" s="393"/>
      <c r="AE253" s="139">
        <f t="shared" si="14"/>
        <v>0</v>
      </c>
      <c r="AF253" s="139" t="str">
        <f>IF('Sch2a-Imp Price by ECM'!C254="Yes", 0, 'Sch2a-Imp Price by ECM'!L254)</f>
        <v/>
      </c>
      <c r="AG253" s="159" t="str">
        <f t="shared" si="15"/>
        <v/>
      </c>
      <c r="AH253" s="4" t="str">
        <f>IF('Sch2a-Imp Price by ECM'!M254="","",'Sch2a-Imp Price by ECM'!M254)</f>
        <v/>
      </c>
    </row>
    <row r="254" spans="1:34" ht="17" thickBot="1">
      <c r="A254" s="75" t="str">
        <f>IF('Sch2a-Imp Price by ECM'!B255="","",'Sch2a-Imp Price by ECM'!B255)</f>
        <v/>
      </c>
      <c r="B254" s="174" t="str">
        <f>IF('Sch2a-Imp Price by ECM'!D255="","",'Sch2a-Imp Price by ECM'!D255)</f>
        <v/>
      </c>
      <c r="C254" s="400" t="str">
        <f>IF('Sch2a-Imp Price by ECM'!G255="","",'Sch2a-Imp Price by ECM'!G255)</f>
        <v/>
      </c>
      <c r="D254" s="274"/>
      <c r="E254" s="391"/>
      <c r="F254" s="391"/>
      <c r="G254" s="391"/>
      <c r="H254" s="391"/>
      <c r="I254" s="276"/>
      <c r="J254" s="391"/>
      <c r="K254" s="275"/>
      <c r="L254" s="275"/>
      <c r="M254" s="275"/>
      <c r="N254" s="269"/>
      <c r="O254" s="391"/>
      <c r="P254" s="275"/>
      <c r="Q254" s="392"/>
      <c r="R254" s="275"/>
      <c r="S254" s="392"/>
      <c r="T254" s="393"/>
      <c r="U254" s="392"/>
      <c r="V254" s="393"/>
      <c r="W254" s="394"/>
      <c r="X254" s="393"/>
      <c r="Y254" s="390">
        <f t="shared" si="16"/>
        <v>0</v>
      </c>
      <c r="Z254" s="16">
        <f t="shared" si="13"/>
        <v>0</v>
      </c>
      <c r="AA254" s="392"/>
      <c r="AB254" s="393"/>
      <c r="AC254" s="393"/>
      <c r="AD254" s="393"/>
      <c r="AE254" s="139">
        <f t="shared" si="14"/>
        <v>0</v>
      </c>
      <c r="AF254" s="139" t="str">
        <f>IF('Sch2a-Imp Price by ECM'!C255="Yes", 0, 'Sch2a-Imp Price by ECM'!L255)</f>
        <v/>
      </c>
      <c r="AG254" s="159" t="str">
        <f t="shared" si="15"/>
        <v/>
      </c>
      <c r="AH254" s="4" t="str">
        <f>IF('Sch2a-Imp Price by ECM'!M255="","",'Sch2a-Imp Price by ECM'!M255)</f>
        <v/>
      </c>
    </row>
    <row r="255" spans="1:34" ht="17" thickBot="1">
      <c r="A255" s="75" t="str">
        <f>IF('Sch2a-Imp Price by ECM'!B256="","",'Sch2a-Imp Price by ECM'!B256)</f>
        <v/>
      </c>
      <c r="B255" s="174" t="str">
        <f>IF('Sch2a-Imp Price by ECM'!D256="","",'Sch2a-Imp Price by ECM'!D256)</f>
        <v/>
      </c>
      <c r="C255" s="400" t="str">
        <f>IF('Sch2a-Imp Price by ECM'!G256="","",'Sch2a-Imp Price by ECM'!G256)</f>
        <v/>
      </c>
      <c r="D255" s="274"/>
      <c r="E255" s="391"/>
      <c r="F255" s="391"/>
      <c r="G255" s="391"/>
      <c r="H255" s="391"/>
      <c r="I255" s="276"/>
      <c r="J255" s="391"/>
      <c r="K255" s="275"/>
      <c r="L255" s="275"/>
      <c r="M255" s="275"/>
      <c r="N255" s="269"/>
      <c r="O255" s="391"/>
      <c r="P255" s="275"/>
      <c r="Q255" s="392"/>
      <c r="R255" s="275"/>
      <c r="S255" s="392"/>
      <c r="T255" s="393"/>
      <c r="U255" s="392"/>
      <c r="V255" s="393"/>
      <c r="W255" s="394"/>
      <c r="X255" s="393"/>
      <c r="Y255" s="390">
        <f t="shared" si="16"/>
        <v>0</v>
      </c>
      <c r="Z255" s="16">
        <f t="shared" si="13"/>
        <v>0</v>
      </c>
      <c r="AA255" s="392"/>
      <c r="AB255" s="393"/>
      <c r="AC255" s="393"/>
      <c r="AD255" s="393"/>
      <c r="AE255" s="139">
        <f t="shared" si="14"/>
        <v>0</v>
      </c>
      <c r="AF255" s="139" t="str">
        <f>IF('Sch2a-Imp Price by ECM'!C256="Yes", 0, 'Sch2a-Imp Price by ECM'!L256)</f>
        <v/>
      </c>
      <c r="AG255" s="159" t="str">
        <f t="shared" si="15"/>
        <v/>
      </c>
      <c r="AH255" s="4" t="str">
        <f>IF('Sch2a-Imp Price by ECM'!M256="","",'Sch2a-Imp Price by ECM'!M256)</f>
        <v/>
      </c>
    </row>
    <row r="256" spans="1:34" ht="17" thickBot="1">
      <c r="A256" s="75" t="str">
        <f>IF('Sch2a-Imp Price by ECM'!B257="","",'Sch2a-Imp Price by ECM'!B257)</f>
        <v/>
      </c>
      <c r="B256" s="174" t="str">
        <f>IF('Sch2a-Imp Price by ECM'!D257="","",'Sch2a-Imp Price by ECM'!D257)</f>
        <v/>
      </c>
      <c r="C256" s="400" t="str">
        <f>IF('Sch2a-Imp Price by ECM'!G257="","",'Sch2a-Imp Price by ECM'!G257)</f>
        <v/>
      </c>
      <c r="D256" s="274"/>
      <c r="E256" s="391"/>
      <c r="F256" s="391"/>
      <c r="G256" s="391"/>
      <c r="H256" s="391"/>
      <c r="I256" s="276"/>
      <c r="J256" s="391"/>
      <c r="K256" s="275"/>
      <c r="L256" s="275"/>
      <c r="M256" s="275"/>
      <c r="N256" s="269"/>
      <c r="O256" s="391"/>
      <c r="P256" s="275"/>
      <c r="Q256" s="392"/>
      <c r="R256" s="275"/>
      <c r="S256" s="392"/>
      <c r="T256" s="393"/>
      <c r="U256" s="392"/>
      <c r="V256" s="393"/>
      <c r="W256" s="394"/>
      <c r="X256" s="393"/>
      <c r="Y256" s="390">
        <f t="shared" si="16"/>
        <v>0</v>
      </c>
      <c r="Z256" s="16">
        <f t="shared" si="13"/>
        <v>0</v>
      </c>
      <c r="AA256" s="392"/>
      <c r="AB256" s="393"/>
      <c r="AC256" s="393"/>
      <c r="AD256" s="393"/>
      <c r="AE256" s="139">
        <f t="shared" si="14"/>
        <v>0</v>
      </c>
      <c r="AF256" s="139" t="str">
        <f>IF('Sch2a-Imp Price by ECM'!C257="Yes", 0, 'Sch2a-Imp Price by ECM'!L257)</f>
        <v/>
      </c>
      <c r="AG256" s="159" t="str">
        <f t="shared" si="15"/>
        <v/>
      </c>
      <c r="AH256" s="4" t="str">
        <f>IF('Sch2a-Imp Price by ECM'!M257="","",'Sch2a-Imp Price by ECM'!M257)</f>
        <v/>
      </c>
    </row>
    <row r="257" spans="1:34" ht="17" thickBot="1">
      <c r="A257" s="75" t="str">
        <f>IF('Sch2a-Imp Price by ECM'!B258="","",'Sch2a-Imp Price by ECM'!B258)</f>
        <v/>
      </c>
      <c r="B257" s="174" t="str">
        <f>IF('Sch2a-Imp Price by ECM'!D258="","",'Sch2a-Imp Price by ECM'!D258)</f>
        <v/>
      </c>
      <c r="C257" s="400" t="str">
        <f>IF('Sch2a-Imp Price by ECM'!G258="","",'Sch2a-Imp Price by ECM'!G258)</f>
        <v/>
      </c>
      <c r="D257" s="274"/>
      <c r="E257" s="391"/>
      <c r="F257" s="391"/>
      <c r="G257" s="391"/>
      <c r="H257" s="391"/>
      <c r="I257" s="276"/>
      <c r="J257" s="391"/>
      <c r="K257" s="275"/>
      <c r="L257" s="275"/>
      <c r="M257" s="275"/>
      <c r="N257" s="269"/>
      <c r="O257" s="391"/>
      <c r="P257" s="275"/>
      <c r="Q257" s="392"/>
      <c r="R257" s="275"/>
      <c r="S257" s="392"/>
      <c r="T257" s="393"/>
      <c r="U257" s="392"/>
      <c r="V257" s="393"/>
      <c r="W257" s="394"/>
      <c r="X257" s="393"/>
      <c r="Y257" s="390">
        <f t="shared" si="16"/>
        <v>0</v>
      </c>
      <c r="Z257" s="16">
        <f t="shared" si="13"/>
        <v>0</v>
      </c>
      <c r="AA257" s="392"/>
      <c r="AB257" s="393"/>
      <c r="AC257" s="393"/>
      <c r="AD257" s="393"/>
      <c r="AE257" s="139">
        <f t="shared" si="14"/>
        <v>0</v>
      </c>
      <c r="AF257" s="139" t="str">
        <f>IF('Sch2a-Imp Price by ECM'!C258="Yes", 0, 'Sch2a-Imp Price by ECM'!L258)</f>
        <v/>
      </c>
      <c r="AG257" s="159" t="str">
        <f t="shared" si="15"/>
        <v/>
      </c>
      <c r="AH257" s="4" t="str">
        <f>IF('Sch2a-Imp Price by ECM'!M258="","",'Sch2a-Imp Price by ECM'!M258)</f>
        <v/>
      </c>
    </row>
    <row r="258" spans="1:34" ht="17" thickBot="1">
      <c r="A258" s="725" t="s">
        <v>66</v>
      </c>
      <c r="B258" s="726"/>
      <c r="C258" s="726"/>
      <c r="D258" s="727"/>
      <c r="E258" s="298">
        <f>SUMIF('Sch2a-Imp Price by ECM'!$C$9:$C$258,"&lt;&gt;Yes",E8:E257)</f>
        <v>20577040</v>
      </c>
      <c r="F258" s="298">
        <f>SUMIF('Sch2a-Imp Price by ECM'!$C$9:$C$258,"&lt;&gt;Yes",F8:F257)</f>
        <v>0</v>
      </c>
      <c r="G258" s="298">
        <f>SUMIF('Sch2a-Imp Price by ECM'!$C$9:$C$258,"&lt;&gt;Yes",G8:G257)</f>
        <v>37047</v>
      </c>
      <c r="H258" s="298">
        <f>SUMIF('Sch2a-Imp Price by ECM'!$C$9:$C$258,"&lt;&gt;Yes",H8:H257)</f>
        <v>31949</v>
      </c>
      <c r="I258" s="298">
        <f>SUMIF('Sch2a-Imp Price by ECM'!$C$9:$C$258,"&lt;&gt;Yes",I8:I257)</f>
        <v>0</v>
      </c>
      <c r="J258" s="298">
        <f>SUMIF('Sch2a-Imp Price by ECM'!$C$9:$C$258,"&lt;&gt;Yes",J8:J257)</f>
        <v>25374</v>
      </c>
      <c r="K258" s="128">
        <f>SUMIF('Sch2a-Imp Price by ECM'!$C$9:$C$258,"&lt;&gt;Yes",K8:K257)</f>
        <v>25374</v>
      </c>
      <c r="L258" s="128">
        <f>SUMIF('Sch2a-Imp Price by ECM'!$C$9:$C$258,"&lt;&gt;Yes",L8:L257)</f>
        <v>0</v>
      </c>
      <c r="M258" s="128">
        <f>SUMIF('Sch2a-Imp Price by ECM'!$C$9:$C$258,"&lt;&gt;Yes",M8:M257)</f>
        <v>1975000</v>
      </c>
      <c r="N258" s="18"/>
      <c r="O258" s="298">
        <f>SUMIF('Sch2a-Imp Price by ECM'!$C$9:$C$258,"&lt;&gt;Yes",O8:O257)</f>
        <v>1952243</v>
      </c>
      <c r="P258" s="128">
        <f>SUMIF('Sch2a-Imp Price by ECM'!$C$9:$C$258,"&lt;&gt;Yes",P8:P257)</f>
        <v>202291.46655448189</v>
      </c>
      <c r="Q258" s="298">
        <f>SUMIF('Sch2a-Imp Price by ECM'!$C$9:$C$258,"&lt;&gt;Yes",Q8:Q257)</f>
        <v>0</v>
      </c>
      <c r="R258" s="128">
        <f>SUMIF('Sch2a-Imp Price by ECM'!$C$9:$C$258,"&lt;&gt;Yes",R8:R257)</f>
        <v>0</v>
      </c>
      <c r="S258" s="298">
        <f>SUMIF('Sch2a-Imp Price by ECM'!$C$9:$C$258,"&lt;&gt;Yes",S8:S257)</f>
        <v>5681</v>
      </c>
      <c r="T258" s="128">
        <f>SUMIF('Sch2a-Imp Price by ECM'!$C$9:$C$258,"&lt;&gt;Yes",T8:T257)</f>
        <v>34929.67247094</v>
      </c>
      <c r="U258" s="298">
        <f>SUMIF('Sch2a-Imp Price by ECM'!$C$9:$C$258,"&lt;&gt;Yes",U8:U257)</f>
        <v>31949.000000000004</v>
      </c>
      <c r="V258" s="128">
        <f>SUMIF('Sch2a-Imp Price by ECM'!$C$9:$C$258,"&lt;&gt;Yes",V8:V257)</f>
        <v>801434.08350600011</v>
      </c>
      <c r="W258" s="298">
        <f>SUMIF('Sch2a-Imp Price by ECM'!$C$9:$C$258,"&lt;&gt;Yes",W8:W257)</f>
        <v>0</v>
      </c>
      <c r="X258" s="128">
        <f>SUMIF('Sch2a-Imp Price by ECM'!$C$9:$C$258,"&lt;&gt;Yes",X8:X257)</f>
        <v>0</v>
      </c>
      <c r="Y258" s="498">
        <f>SUMIFS(Y8:Y257, '[1]Sch2a-Imp Price by ECM'!$C$9:$C$258,"&lt;&gt;Yes",'[1]Sch2a-Imp Price by ECM'!$A$9:$A$258,"&lt;&gt;")</f>
        <v>44291.05311600001</v>
      </c>
      <c r="Z258" s="128">
        <f>SUMIF('Sch2a-Imp Price by ECM'!$C$9:$C$258,"&lt;&gt;Yes",Z8:Z257)</f>
        <v>1038655.222531422</v>
      </c>
      <c r="AA258" s="298">
        <f>SUMIF('Sch2a-Imp Price by ECM'!$C$9:$C$258,"&lt;&gt;Yes",AA8:AA257)</f>
        <v>22096</v>
      </c>
      <c r="AB258" s="128">
        <f>SUMIF('Sch2a-Imp Price by ECM'!$C$9:$C$258,"&lt;&gt;Yes",AB8:AB257)</f>
        <v>366616.83199999999</v>
      </c>
      <c r="AC258" s="128">
        <f>SUMIF('Sch2a-Imp Price by ECM'!$C$9:$C$258,"&lt;&gt;Yes",AC8:AC257)</f>
        <v>209305.79999999996</v>
      </c>
      <c r="AD258" s="128">
        <f>SUMIF('Sch2a-Imp Price by ECM'!$C$9:$C$258,"&lt;&gt;Yes",AD8:AD257)</f>
        <v>0</v>
      </c>
      <c r="AE258" s="128">
        <f>SUMIFS(AE8:AE257,'Sch2a-Imp Price by ECM'!$C$9:$C$258,"&lt;&gt;Yes")</f>
        <v>1614577.8545314223</v>
      </c>
      <c r="AF258" s="128">
        <f>SUMIF('Sch2a-Imp Price by ECM'!$C$9:$C$258,"&lt;&gt;Yes",AF8:AF257)+AF7</f>
        <v>22775000.379310332</v>
      </c>
      <c r="AG258" s="159">
        <f t="shared" si="15"/>
        <v>14.105854552253859</v>
      </c>
    </row>
    <row r="259" spans="1:34" ht="17" thickBot="1">
      <c r="A259" s="76"/>
      <c r="B259" s="77"/>
      <c r="C259" s="77"/>
      <c r="D259" s="77"/>
      <c r="E259" s="78"/>
      <c r="F259" s="78"/>
      <c r="G259" s="79"/>
      <c r="H259" s="80"/>
      <c r="I259" s="80"/>
      <c r="J259" s="81"/>
      <c r="K259" s="81"/>
      <c r="L259" s="78"/>
      <c r="M259" s="79"/>
      <c r="N259" s="82"/>
      <c r="O259" s="78"/>
      <c r="P259" s="79"/>
      <c r="Q259" s="79"/>
      <c r="R259" s="78"/>
      <c r="S259" s="79"/>
      <c r="T259" s="79"/>
      <c r="U259" s="79"/>
      <c r="V259" s="19"/>
      <c r="W259" s="83"/>
      <c r="X259" s="83"/>
      <c r="Y259" s="83"/>
      <c r="Z259" s="83"/>
      <c r="AA259" s="83"/>
      <c r="AB259" s="83"/>
      <c r="AC259" s="83"/>
      <c r="AD259" s="83"/>
      <c r="AE259" s="83"/>
      <c r="AF259" s="83"/>
      <c r="AG259" s="84"/>
    </row>
    <row r="260" spans="1:34">
      <c r="A260" s="716" t="s">
        <v>15</v>
      </c>
      <c r="B260" s="717"/>
      <c r="C260" s="717"/>
      <c r="D260" s="717"/>
      <c r="E260" s="717"/>
      <c r="F260" s="717"/>
      <c r="G260" s="717"/>
      <c r="H260" s="717"/>
      <c r="I260" s="717"/>
      <c r="J260" s="717"/>
      <c r="K260" s="717"/>
      <c r="L260" s="717"/>
      <c r="M260" s="717"/>
      <c r="N260" s="717"/>
      <c r="O260" s="717"/>
      <c r="P260" s="717"/>
      <c r="Q260" s="717"/>
      <c r="R260" s="717"/>
      <c r="S260" s="717"/>
      <c r="T260" s="717"/>
      <c r="U260" s="717"/>
      <c r="V260" s="717"/>
      <c r="W260" s="717"/>
      <c r="X260" s="717"/>
      <c r="Y260" s="717"/>
      <c r="Z260" s="717"/>
      <c r="AA260" s="717"/>
      <c r="AB260" s="717"/>
      <c r="AC260" s="717"/>
      <c r="AD260" s="717"/>
      <c r="AE260" s="717"/>
      <c r="AF260" s="717"/>
      <c r="AG260" s="718"/>
    </row>
    <row r="261" spans="1:34">
      <c r="A261" s="719" t="s">
        <v>229</v>
      </c>
      <c r="B261" s="720"/>
      <c r="C261" s="720"/>
      <c r="D261" s="720"/>
      <c r="E261" s="720"/>
      <c r="F261" s="720"/>
      <c r="G261" s="720"/>
      <c r="H261" s="720"/>
      <c r="I261" s="720"/>
      <c r="J261" s="720"/>
      <c r="K261" s="720"/>
      <c r="L261" s="720"/>
      <c r="M261" s="720"/>
      <c r="N261" s="720"/>
      <c r="O261" s="720"/>
      <c r="P261" s="720"/>
      <c r="Q261" s="720"/>
      <c r="R261" s="720"/>
      <c r="S261" s="720"/>
      <c r="T261" s="720"/>
      <c r="U261" s="720"/>
      <c r="V261" s="720"/>
      <c r="W261" s="720"/>
      <c r="X261" s="720"/>
      <c r="Y261" s="720"/>
      <c r="Z261" s="720"/>
      <c r="AA261" s="720"/>
      <c r="AB261" s="720"/>
      <c r="AC261" s="720"/>
      <c r="AD261" s="720"/>
      <c r="AE261" s="720"/>
      <c r="AF261" s="720"/>
      <c r="AG261" s="721"/>
    </row>
    <row r="262" spans="1:34" ht="17.25" customHeight="1">
      <c r="A262" s="719" t="s">
        <v>383</v>
      </c>
      <c r="B262" s="720"/>
      <c r="C262" s="720"/>
      <c r="D262" s="720"/>
      <c r="E262" s="720"/>
      <c r="F262" s="720"/>
      <c r="G262" s="720"/>
      <c r="H262" s="720"/>
      <c r="I262" s="720"/>
      <c r="J262" s="720"/>
      <c r="K262" s="720"/>
      <c r="L262" s="720"/>
      <c r="M262" s="720"/>
      <c r="N262" s="720"/>
      <c r="O262" s="720"/>
      <c r="P262" s="720"/>
      <c r="Q262" s="720"/>
      <c r="R262" s="720"/>
      <c r="S262" s="720"/>
      <c r="T262" s="720"/>
      <c r="U262" s="720"/>
      <c r="V262" s="720"/>
      <c r="W262" s="720"/>
      <c r="X262" s="720"/>
      <c r="Y262" s="720"/>
      <c r="Z262" s="720"/>
      <c r="AA262" s="720"/>
      <c r="AB262" s="720"/>
      <c r="AC262" s="720"/>
      <c r="AD262" s="720"/>
      <c r="AE262" s="720"/>
      <c r="AF262" s="720"/>
      <c r="AG262" s="721"/>
    </row>
    <row r="263" spans="1:34" ht="17.25" customHeight="1">
      <c r="A263" s="719" t="s">
        <v>320</v>
      </c>
      <c r="B263" s="720"/>
      <c r="C263" s="720"/>
      <c r="D263" s="720"/>
      <c r="E263" s="720"/>
      <c r="F263" s="720"/>
      <c r="G263" s="720"/>
      <c r="H263" s="720"/>
      <c r="I263" s="720"/>
      <c r="J263" s="720"/>
      <c r="K263" s="720"/>
      <c r="L263" s="720"/>
      <c r="M263" s="720"/>
      <c r="N263" s="720"/>
      <c r="O263" s="720"/>
      <c r="P263" s="720"/>
      <c r="Q263" s="720"/>
      <c r="R263" s="720"/>
      <c r="S263" s="720"/>
      <c r="T263" s="720"/>
      <c r="U263" s="720"/>
      <c r="V263" s="720"/>
      <c r="W263" s="720"/>
      <c r="X263" s="720"/>
      <c r="Y263" s="720"/>
      <c r="Z263" s="720"/>
      <c r="AA263" s="720"/>
      <c r="AB263" s="720"/>
      <c r="AC263" s="720"/>
      <c r="AD263" s="720"/>
      <c r="AE263" s="720"/>
      <c r="AF263" s="720"/>
      <c r="AG263" s="721"/>
    </row>
    <row r="264" spans="1:34">
      <c r="A264" s="722" t="s">
        <v>384</v>
      </c>
      <c r="B264" s="723"/>
      <c r="C264" s="723"/>
      <c r="D264" s="723"/>
      <c r="E264" s="723"/>
      <c r="F264" s="723"/>
      <c r="G264" s="723"/>
      <c r="H264" s="723"/>
      <c r="I264" s="723"/>
      <c r="J264" s="723"/>
      <c r="K264" s="723"/>
      <c r="L264" s="723"/>
      <c r="M264" s="723"/>
      <c r="N264" s="723"/>
      <c r="O264" s="723"/>
      <c r="P264" s="723"/>
      <c r="Q264" s="723"/>
      <c r="R264" s="723"/>
      <c r="S264" s="723"/>
      <c r="T264" s="723"/>
      <c r="U264" s="723"/>
      <c r="V264" s="723"/>
      <c r="W264" s="723"/>
      <c r="X264" s="723"/>
      <c r="Y264" s="723"/>
      <c r="Z264" s="723"/>
      <c r="AA264" s="723"/>
      <c r="AB264" s="723"/>
      <c r="AC264" s="723"/>
      <c r="AD264" s="723"/>
      <c r="AE264" s="723"/>
      <c r="AF264" s="723"/>
      <c r="AG264" s="724"/>
    </row>
    <row r="265" spans="1:34" ht="17" thickBot="1">
      <c r="A265" s="728" t="str">
        <f>IF('Summary Schedule'!C4="UESC", "(5) Post-acceptance services as included in contract, e.g., utility to provide one-year wrap-around warranty and/or extended warranty. Utility or agency to perform O&amp;M and RCx as specified in the performance assurance plan included in contract.", "")</f>
        <v/>
      </c>
      <c r="B265" s="729"/>
      <c r="C265" s="729"/>
      <c r="D265" s="729"/>
      <c r="E265" s="729"/>
      <c r="F265" s="729"/>
      <c r="G265" s="729"/>
      <c r="H265" s="729"/>
      <c r="I265" s="729"/>
      <c r="J265" s="729"/>
      <c r="K265" s="729"/>
      <c r="L265" s="729"/>
      <c r="M265" s="729"/>
      <c r="N265" s="729"/>
      <c r="O265" s="729"/>
      <c r="P265" s="729"/>
      <c r="Q265" s="729"/>
      <c r="R265" s="729"/>
      <c r="S265" s="729"/>
      <c r="T265" s="729"/>
      <c r="U265" s="729"/>
      <c r="V265" s="729"/>
      <c r="W265" s="729"/>
      <c r="X265" s="729"/>
      <c r="Y265" s="729"/>
      <c r="Z265" s="729"/>
      <c r="AA265" s="729"/>
      <c r="AB265" s="729"/>
      <c r="AC265" s="729"/>
      <c r="AD265" s="729"/>
      <c r="AE265" s="729"/>
      <c r="AF265" s="729"/>
      <c r="AG265" s="730"/>
    </row>
    <row r="266" spans="1:34">
      <c r="A266" s="716" t="s">
        <v>173</v>
      </c>
      <c r="B266" s="717"/>
      <c r="C266" s="717"/>
      <c r="D266" s="717"/>
      <c r="E266" s="717"/>
      <c r="F266" s="717"/>
      <c r="G266" s="717"/>
      <c r="H266" s="717"/>
      <c r="I266" s="717"/>
      <c r="J266" s="717"/>
      <c r="K266" s="717"/>
      <c r="L266" s="717"/>
      <c r="M266" s="717"/>
      <c r="N266" s="717"/>
      <c r="O266" s="717"/>
      <c r="P266" s="717"/>
      <c r="Q266" s="717"/>
      <c r="R266" s="717"/>
      <c r="S266" s="717"/>
      <c r="T266" s="717"/>
      <c r="U266" s="717"/>
      <c r="V266" s="717"/>
      <c r="W266" s="717"/>
      <c r="X266" s="717"/>
      <c r="Y266" s="717"/>
      <c r="Z266" s="717"/>
      <c r="AA266" s="717"/>
      <c r="AB266" s="717"/>
      <c r="AC266" s="717"/>
      <c r="AD266" s="717"/>
      <c r="AE266" s="717"/>
      <c r="AF266" s="717"/>
      <c r="AG266" s="718"/>
    </row>
    <row r="267" spans="1:34" ht="70" customHeight="1" thickBot="1">
      <c r="A267" s="713" t="s">
        <v>608</v>
      </c>
      <c r="B267" s="714"/>
      <c r="C267" s="714"/>
      <c r="D267" s="714"/>
      <c r="E267" s="714"/>
      <c r="F267" s="714"/>
      <c r="G267" s="714"/>
      <c r="H267" s="714"/>
      <c r="I267" s="714"/>
      <c r="J267" s="714"/>
      <c r="K267" s="714"/>
      <c r="L267" s="714"/>
      <c r="M267" s="714"/>
      <c r="N267" s="714"/>
      <c r="O267" s="714"/>
      <c r="P267" s="714"/>
      <c r="Q267" s="714"/>
      <c r="R267" s="714"/>
      <c r="S267" s="714"/>
      <c r="T267" s="714"/>
      <c r="U267" s="714"/>
      <c r="V267" s="714"/>
      <c r="W267" s="714"/>
      <c r="X267" s="714"/>
      <c r="Y267" s="714"/>
      <c r="Z267" s="714"/>
      <c r="AA267" s="714"/>
      <c r="AB267" s="714"/>
      <c r="AC267" s="714"/>
      <c r="AD267" s="714"/>
      <c r="AE267" s="714"/>
      <c r="AF267" s="714"/>
      <c r="AG267" s="715"/>
    </row>
    <row r="268" spans="1:34">
      <c r="A268" s="4" t="str">
        <f>'Sch3-Perf Period Cash Flow'!A32</f>
        <v>4.1.5.c</v>
      </c>
    </row>
    <row r="269" spans="1:34">
      <c r="A269" s="4" t="str">
        <f>'Sch3-Perf Period Cash Flow'!A33</f>
        <v>04232024</v>
      </c>
    </row>
  </sheetData>
  <mergeCells count="17">
    <mergeCell ref="E4:N4"/>
    <mergeCell ref="A262:AG262"/>
    <mergeCell ref="A263:AG263"/>
    <mergeCell ref="A266:AG266"/>
    <mergeCell ref="A1:AG1"/>
    <mergeCell ref="A2:AG2"/>
    <mergeCell ref="A5:A6"/>
    <mergeCell ref="B5:B6"/>
    <mergeCell ref="D5:D6"/>
    <mergeCell ref="A4:D4"/>
    <mergeCell ref="C5:C6"/>
    <mergeCell ref="A267:AG267"/>
    <mergeCell ref="A260:AG260"/>
    <mergeCell ref="A261:AG261"/>
    <mergeCell ref="A264:AG264"/>
    <mergeCell ref="A258:D258"/>
    <mergeCell ref="A265:AG265"/>
  </mergeCells>
  <dataValidations count="4">
    <dataValidation type="list" allowBlank="1" showInputMessage="1" showErrorMessage="1" sqref="N14:N257" xr:uid="{00000000-0002-0000-0A00-000000000000}">
      <formula1>"Capital Costs, Pollution Costs, Other Costs"</formula1>
    </dataValidation>
    <dataValidation type="whole" allowBlank="1" showInputMessage="1" showErrorMessage="1" error="Please enter a valid value" sqref="E14:M257 E8:N13" xr:uid="{00000000-0002-0000-0A00-000001000000}">
      <formula1>0</formula1>
      <formula2>1000000000</formula2>
    </dataValidation>
    <dataValidation type="whole" allowBlank="1" showInputMessage="1" showErrorMessage="1" error="Please enter a valid value" sqref="AA8:AD257" xr:uid="{00000000-0002-0000-0A00-000002000000}">
      <formula1>-100000000000</formula1>
      <formula2>1000000000</formula2>
    </dataValidation>
    <dataValidation type="whole" allowBlank="1" showInputMessage="1" showErrorMessage="1" error="Please enter a valid value" sqref="O8:X257" xr:uid="{00000000-0002-0000-0A00-000003000000}">
      <formula1>-1000000000</formula1>
      <formula2>1000000000</formula2>
    </dataValidation>
  </dataValidations>
  <pageMargins left="0.75" right="0.75" top="1" bottom="1" header="0.5" footer="0.5"/>
  <pageSetup scale="24"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2" id="{449912C8-C80E-4042-A4EC-E295FDB0837A}">
            <xm:f>'Sch2a-Imp Price by ECM'!$C9:$C259="Yes"</xm:f>
            <x14:dxf>
              <font>
                <color theme="1"/>
              </font>
              <fill>
                <patternFill>
                  <bgColor theme="9"/>
                </patternFill>
              </fill>
            </x14:dxf>
          </x14:cfRule>
          <xm:sqref>A8:D13 A14:X258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ECM!$D$2:$D$10</xm:f>
          </x14:formula1>
          <xm:sqref>D8:D257</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8C65-47CC-A54C-98F4-3AE9B33A887D}">
  <sheetPr codeName="Sheet24">
    <pageSetUpPr fitToPage="1"/>
  </sheetPr>
  <dimension ref="A1:U270"/>
  <sheetViews>
    <sheetView zoomScale="90" zoomScaleNormal="90" zoomScalePageLayoutView="75" workbookViewId="0">
      <pane ySplit="9" topLeftCell="A257" activePane="bottomLeft" state="frozenSplit"/>
      <selection activeCell="N8" sqref="N8"/>
      <selection pane="bottomLeft" activeCell="K8" sqref="K8"/>
    </sheetView>
  </sheetViews>
  <sheetFormatPr baseColWidth="10" defaultColWidth="11" defaultRowHeight="16"/>
  <cols>
    <col min="1" max="1" width="18" style="4" bestFit="1" customWidth="1"/>
    <col min="2" max="2" width="47.83203125" style="4" customWidth="1"/>
    <col min="3" max="3" width="15.83203125" style="4" customWidth="1"/>
    <col min="4" max="6" width="13.5" style="4" customWidth="1"/>
    <col min="7" max="9" width="14" style="4" customWidth="1"/>
    <col min="10" max="10" width="12.33203125" style="4" customWidth="1"/>
    <col min="11" max="11" width="13" style="4" customWidth="1"/>
    <col min="12" max="12" width="13.33203125" style="4" customWidth="1"/>
    <col min="13" max="13" width="10.83203125" style="4" customWidth="1"/>
    <col min="14" max="15" width="13" style="4" customWidth="1"/>
    <col min="16" max="16" width="12.33203125" style="4" bestFit="1" customWidth="1"/>
    <col min="17" max="17" width="11" style="4"/>
    <col min="18" max="18" width="13.33203125" style="4" customWidth="1"/>
    <col min="19" max="19" width="12" style="4" customWidth="1"/>
    <col min="20" max="20" width="17.83203125" style="4" bestFit="1" customWidth="1"/>
    <col min="21" max="21" width="16.33203125" style="4" customWidth="1"/>
    <col min="22" max="22" width="13" style="4" bestFit="1" customWidth="1"/>
    <col min="23" max="24" width="11" style="4"/>
    <col min="25" max="25" width="18" style="4" customWidth="1"/>
    <col min="26" max="16384" width="11" style="4"/>
  </cols>
  <sheetData>
    <row r="1" spans="1:21" ht="21">
      <c r="A1" s="661" t="s">
        <v>423</v>
      </c>
      <c r="B1" s="661"/>
      <c r="C1" s="661"/>
      <c r="D1" s="661"/>
      <c r="E1" s="661"/>
      <c r="F1" s="661"/>
      <c r="G1" s="661"/>
      <c r="H1" s="661"/>
      <c r="I1" s="661"/>
      <c r="J1" s="661"/>
      <c r="K1" s="661"/>
      <c r="L1" s="661"/>
      <c r="M1" s="661"/>
      <c r="N1" s="661"/>
      <c r="O1" s="661"/>
      <c r="P1" s="661"/>
      <c r="Q1" s="661"/>
      <c r="R1" s="422"/>
      <c r="S1" s="422"/>
      <c r="T1" s="422"/>
    </row>
    <row r="2" spans="1:21" ht="22" thickBot="1">
      <c r="A2" s="731" t="s">
        <v>613</v>
      </c>
      <c r="B2" s="731"/>
      <c r="C2" s="731"/>
      <c r="D2" s="731"/>
      <c r="E2" s="731"/>
      <c r="F2" s="731"/>
      <c r="G2" s="731"/>
      <c r="H2" s="731"/>
      <c r="I2" s="731"/>
      <c r="J2" s="731"/>
      <c r="K2" s="731"/>
      <c r="L2" s="731"/>
      <c r="M2" s="731"/>
      <c r="N2" s="731"/>
      <c r="O2" s="731"/>
      <c r="P2" s="731"/>
      <c r="Q2" s="731"/>
      <c r="R2" s="423"/>
      <c r="S2" s="423"/>
      <c r="T2" s="423"/>
    </row>
    <row r="3" spans="1:21" ht="17" thickBot="1">
      <c r="A3" s="6"/>
      <c r="B3" s="7"/>
      <c r="C3" s="7"/>
      <c r="D3" s="7"/>
      <c r="E3" s="7"/>
      <c r="F3" s="7"/>
      <c r="G3" s="7"/>
      <c r="H3" s="7"/>
      <c r="I3" s="7"/>
      <c r="J3" s="7"/>
      <c r="K3" s="7"/>
      <c r="L3" s="7"/>
      <c r="M3" s="8"/>
      <c r="N3" s="8"/>
      <c r="O3" s="8"/>
      <c r="P3" s="8"/>
      <c r="Q3" s="8"/>
      <c r="R3" s="8"/>
      <c r="S3" s="8"/>
      <c r="T3" s="8"/>
    </row>
    <row r="4" spans="1:21" ht="61" thickBot="1">
      <c r="A4" s="735" t="s">
        <v>16</v>
      </c>
      <c r="B4" s="736"/>
      <c r="C4" s="736"/>
      <c r="D4" s="10" t="s">
        <v>42</v>
      </c>
      <c r="E4" s="11"/>
      <c r="F4" s="11"/>
      <c r="G4" s="11" t="s">
        <v>36</v>
      </c>
      <c r="H4" s="11"/>
      <c r="I4" s="11"/>
      <c r="J4" s="11" t="s">
        <v>49</v>
      </c>
      <c r="K4" s="11"/>
      <c r="L4" s="11"/>
      <c r="M4" s="11" t="s">
        <v>51</v>
      </c>
      <c r="N4" s="11"/>
      <c r="O4" s="11"/>
      <c r="P4" s="11" t="s">
        <v>289</v>
      </c>
      <c r="Q4" s="11" t="s">
        <v>38</v>
      </c>
      <c r="R4" s="11"/>
      <c r="S4" s="11"/>
      <c r="T4" s="11"/>
    </row>
    <row r="5" spans="1:21" ht="73.5" customHeight="1">
      <c r="A5" s="732" t="s">
        <v>27</v>
      </c>
      <c r="B5" s="733" t="s">
        <v>43</v>
      </c>
      <c r="C5" s="732" t="s">
        <v>611</v>
      </c>
      <c r="D5" s="43" t="s">
        <v>17</v>
      </c>
      <c r="E5" s="154" t="s">
        <v>424</v>
      </c>
      <c r="F5" s="43" t="s">
        <v>425</v>
      </c>
      <c r="G5" s="43" t="s">
        <v>21</v>
      </c>
      <c r="H5" s="426" t="s">
        <v>426</v>
      </c>
      <c r="I5" s="43" t="s">
        <v>427</v>
      </c>
      <c r="J5" s="154" t="str">
        <f>'Annual Escalation Rates'!E4</f>
        <v>Other Savings Type 1: Heating Oil</v>
      </c>
      <c r="K5" s="154" t="s">
        <v>426</v>
      </c>
      <c r="L5" s="154" t="str">
        <f>J5</f>
        <v>Other Savings Type 1: Heating Oil</v>
      </c>
      <c r="M5" s="154" t="str">
        <f>'Annual Escalation Rates'!F4</f>
        <v>Other Savings Type 2: Other</v>
      </c>
      <c r="N5" s="154" t="s">
        <v>426</v>
      </c>
      <c r="O5" s="154" t="str">
        <f>M5</f>
        <v>Other Savings Type 2: Other</v>
      </c>
      <c r="P5" s="43" t="s">
        <v>22</v>
      </c>
      <c r="Q5" s="43" t="s">
        <v>24</v>
      </c>
      <c r="R5" s="43" t="s">
        <v>598</v>
      </c>
      <c r="S5" s="43" t="s">
        <v>599</v>
      </c>
      <c r="T5" s="43" t="s">
        <v>600</v>
      </c>
    </row>
    <row r="6" spans="1:21" ht="27" customHeight="1" thickBot="1">
      <c r="A6" s="658"/>
      <c r="B6" s="734"/>
      <c r="C6" s="737"/>
      <c r="D6" s="43" t="s">
        <v>18</v>
      </c>
      <c r="E6" s="43"/>
      <c r="F6" s="43" t="s">
        <v>428</v>
      </c>
      <c r="G6" s="43" t="s">
        <v>54</v>
      </c>
      <c r="H6" s="43"/>
      <c r="I6" s="43" t="s">
        <v>428</v>
      </c>
      <c r="J6" s="43" t="s">
        <v>54</v>
      </c>
      <c r="K6" s="43"/>
      <c r="L6" s="43" t="s">
        <v>428</v>
      </c>
      <c r="M6" s="43" t="s">
        <v>54</v>
      </c>
      <c r="N6" s="43"/>
      <c r="O6" s="43" t="s">
        <v>428</v>
      </c>
      <c r="P6" s="43" t="s">
        <v>54</v>
      </c>
      <c r="Q6" s="43" t="s">
        <v>29</v>
      </c>
      <c r="R6" s="43" t="s">
        <v>428</v>
      </c>
      <c r="S6" s="43" t="s">
        <v>428</v>
      </c>
      <c r="T6" s="43" t="s">
        <v>428</v>
      </c>
    </row>
    <row r="7" spans="1:21" ht="31" thickBot="1">
      <c r="A7" s="389"/>
      <c r="B7" s="176" t="str">
        <f>IF('Sch2a-Imp Price by ECM'!A8="","",'Sch2a-Imp Price by ECM'!A8)</f>
        <v>Project Development Price (PDP)-Technical Energy Audit and Project Proposal</v>
      </c>
      <c r="C7" s="399"/>
      <c r="D7" s="13"/>
      <c r="E7" s="13"/>
      <c r="F7" s="13"/>
      <c r="G7" s="13"/>
      <c r="H7" s="13"/>
      <c r="I7" s="13"/>
      <c r="J7" s="13"/>
      <c r="K7" s="13"/>
      <c r="L7" s="13"/>
      <c r="M7" s="13"/>
      <c r="N7" s="13"/>
      <c r="O7" s="13"/>
      <c r="P7" s="14"/>
      <c r="Q7" s="13"/>
      <c r="R7" s="13"/>
      <c r="S7" s="13"/>
      <c r="T7" s="13"/>
    </row>
    <row r="8" spans="1:21" ht="43" customHeight="1" thickBot="1">
      <c r="A8" s="75" t="str">
        <f>IF('Sch2a-Imp Price by ECM'!B9="","",'Sch2a-Imp Price by ECM'!B9)</f>
        <v>1A</v>
      </c>
      <c r="B8" s="174" t="str">
        <f>IF('Sch2a-Imp Price by ECM'!D9="","",'Sch2a-Imp Price by ECM'!D9)</f>
        <v>Boiler Plant Improvements</v>
      </c>
      <c r="C8" s="458" t="s">
        <v>567</v>
      </c>
      <c r="D8" s="454">
        <f>'Sch4-Cost Savings by ECM'!O8</f>
        <v>-4130100</v>
      </c>
      <c r="E8" s="454">
        <f>VLOOKUP(C8,'eGRID subregion name'!$A$2:$N$30,8,0)</f>
        <v>165.43871843990979</v>
      </c>
      <c r="F8" s="454">
        <f t="shared" ref="F8" si="0">D8*3412*E8/1000000</f>
        <v>-2331346.0749098272</v>
      </c>
      <c r="G8" s="455">
        <f>'Sch4-Cost Savings by ECM'!S8</f>
        <v>4500</v>
      </c>
      <c r="H8" s="455">
        <f>VLOOKUP("Natural Gas", 'GHG Emissions'!$D$2:$M$66,4,FALSE)+VLOOKUP("Natural Gas", 'GHG Emissions'!$D$2:$M$66,6,FALSE)*'eGRID subregion name'!$P$3+VLOOKUP("Natural Gas", 'GHG Emissions'!$D$2:$M$66,8,FALSE)*'eGRID subregion name'!$P$4</f>
        <v>53.114800000000002</v>
      </c>
      <c r="I8" s="455">
        <f>G8*H8</f>
        <v>239016.6</v>
      </c>
      <c r="J8" s="455">
        <f>'Sch4-Cost Savings by ECM'!U8</f>
        <v>31949.000000000004</v>
      </c>
      <c r="K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 s="455">
        <f>K8*J8</f>
        <v>2371056.6962000001</v>
      </c>
      <c r="M8" s="455">
        <f>'Sch4-Cost Savings by ECM'!W8</f>
        <v>0</v>
      </c>
      <c r="N8" s="427">
        <v>74</v>
      </c>
      <c r="O8" s="455">
        <f>M8*N8</f>
        <v>0</v>
      </c>
      <c r="P8" s="457">
        <f t="shared" ref="P8:P71" si="1">(D8*3412/10^6)+G8+J8+M8</f>
        <v>22357.098800000003</v>
      </c>
      <c r="Q8" s="455">
        <f>'Sch4-Cost Savings by ECM'!AA8</f>
        <v>4419</v>
      </c>
      <c r="R8" s="455">
        <f>I8+(IF($L$5&lt;&gt;"Other Savings Type 1: Chilled Water",L8,0)+IF($O$5&lt;&gt;"Other Savings Type 2: Chilled Water",O8,0))</f>
        <v>2610073.2962000002</v>
      </c>
      <c r="S8" s="455">
        <f t="shared" ref="S8" si="2">F8+(IF($L$5="Other Savings Type 1: Chilled Water",L8,0)+IF($O$5="Other Savings Type 2: Chilled Water",O8,0))</f>
        <v>-2331346.0749098272</v>
      </c>
      <c r="T8" s="455">
        <f>R8+S8</f>
        <v>278727.22129017301</v>
      </c>
      <c r="U8" s="466"/>
    </row>
    <row r="9" spans="1:21" ht="17" thickBot="1">
      <c r="A9" s="75" t="str">
        <f>IF('Sch2a-Imp Price by ECM'!B10="","",'Sch2a-Imp Price by ECM'!B10)</f>
        <v>3A</v>
      </c>
      <c r="B9" s="174" t="str">
        <f>IF('Sch2a-Imp Price by ECM'!D10="","",'Sch2a-Imp Price by ECM'!D10)</f>
        <v xml:space="preserve">Controls </v>
      </c>
      <c r="C9" s="458" t="s">
        <v>567</v>
      </c>
      <c r="D9" s="454">
        <f>'Sch4-Cost Savings by ECM'!O9</f>
        <v>2147652</v>
      </c>
      <c r="E9" s="454">
        <f>VLOOKUP(C9,'eGRID subregion name'!$A$2:$N$30,8,0)</f>
        <v>165.43871843990979</v>
      </c>
      <c r="F9" s="454">
        <f>D9*3412*E9/1000000</f>
        <v>1212299.95895311</v>
      </c>
      <c r="G9" s="455">
        <f>'Sch4-Cost Savings by ECM'!S9</f>
        <v>0</v>
      </c>
      <c r="H9" s="455">
        <f>VLOOKUP("Natural Gas", 'GHG Emissions'!$D$2:$M$66,4,FALSE)+VLOOKUP("Natural Gas", 'GHG Emissions'!$D$2:$M$66,6,FALSE)*'eGRID subregion name'!$P$3+VLOOKUP("Natural Gas", 'GHG Emissions'!$D$2:$M$66,8,FALSE)*'eGRID subregion name'!$P$4</f>
        <v>53.114800000000002</v>
      </c>
      <c r="I9" s="455">
        <f t="shared" ref="I9:I72" si="3">G9*H9</f>
        <v>0</v>
      </c>
      <c r="J9" s="455">
        <f>'Sch4-Cost Savings by ECM'!U9</f>
        <v>0</v>
      </c>
      <c r="K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 s="455">
        <f>K9*J9</f>
        <v>0</v>
      </c>
      <c r="M9" s="455">
        <f>'Sch4-Cost Savings by ECM'!W9</f>
        <v>0</v>
      </c>
      <c r="N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 s="455">
        <f t="shared" ref="O9:O72" si="4">M9*N9</f>
        <v>0</v>
      </c>
      <c r="P9" s="457">
        <f t="shared" si="1"/>
        <v>7327.7886239999998</v>
      </c>
      <c r="Q9" s="455">
        <f>'Sch4-Cost Savings by ECM'!AA9</f>
        <v>0</v>
      </c>
      <c r="R9" s="455">
        <f>I9+(IF($L$5&lt;&gt;"Other Savings Type 1: Chilled Water",L9,0)+IF($O$5&lt;&gt;"Other Savings Type 2: Chilled Water",O9,0))</f>
        <v>0</v>
      </c>
      <c r="S9" s="455">
        <f t="shared" ref="S9" si="5">F9+(IF($L$5="Other Savings Type 1: Chilled Water",L9,0)+IF($O$5="Other Savings Type 2: Chilled Water",O9,0))</f>
        <v>1212299.95895311</v>
      </c>
      <c r="T9" s="455">
        <f t="shared" ref="T9:T72" si="6">R9+S9</f>
        <v>1212299.95895311</v>
      </c>
      <c r="U9" s="466"/>
    </row>
    <row r="10" spans="1:21" ht="17" thickBot="1">
      <c r="A10" s="75" t="str">
        <f>IF('Sch2a-Imp Price by ECM'!B11="","",'Sch2a-Imp Price by ECM'!B11)</f>
        <v>5A</v>
      </c>
      <c r="B10" s="174" t="str">
        <f>IF('Sch2a-Imp Price by ECM'!D11="","",'Sch2a-Imp Price by ECM'!D11)</f>
        <v>Lighting Upgrade</v>
      </c>
      <c r="C10" s="458" t="s">
        <v>567</v>
      </c>
      <c r="D10" s="454">
        <f>'Sch4-Cost Savings by ECM'!O10</f>
        <v>1486836</v>
      </c>
      <c r="E10" s="454">
        <f>VLOOKUP(C10,'eGRID subregion name'!$A$2:$N$30,8,0)</f>
        <v>165.43871843990979</v>
      </c>
      <c r="F10" s="454">
        <f t="shared" ref="F10:F73" si="7">D10*3412*E10/1000000</f>
        <v>839284.58696753776</v>
      </c>
      <c r="G10" s="455">
        <f>'Sch4-Cost Savings by ECM'!S10</f>
        <v>0</v>
      </c>
      <c r="H10" s="455">
        <f>VLOOKUP("Natural Gas", 'GHG Emissions'!$D$2:$M$66,4,FALSE)+VLOOKUP("Natural Gas", 'GHG Emissions'!$D$2:$M$66,6,FALSE)*'eGRID subregion name'!$P$3+VLOOKUP("Natural Gas", 'GHG Emissions'!$D$2:$M$66,8,FALSE)*'eGRID subregion name'!$P$4</f>
        <v>53.114800000000002</v>
      </c>
      <c r="I10" s="455">
        <f t="shared" si="3"/>
        <v>0</v>
      </c>
      <c r="J10" s="455">
        <f>'Sch4-Cost Savings by ECM'!U10</f>
        <v>0</v>
      </c>
      <c r="K1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 s="455">
        <f t="shared" ref="L10:L72" si="8">K10*J10</f>
        <v>0</v>
      </c>
      <c r="M10" s="455">
        <f>'Sch4-Cost Savings by ECM'!W10</f>
        <v>0</v>
      </c>
      <c r="N1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 s="455">
        <f t="shared" si="4"/>
        <v>0</v>
      </c>
      <c r="P10" s="457">
        <f t="shared" si="1"/>
        <v>5073.0844319999997</v>
      </c>
      <c r="Q10" s="455">
        <f>'Sch4-Cost Savings by ECM'!AA10</f>
        <v>0</v>
      </c>
      <c r="R10" s="455">
        <f t="shared" ref="R10:R73" si="9">I10+(IF($L$5&lt;&gt;"Other Savings Type 1: Chilled Water",L10,0)+IF($O$5&lt;&gt;"Other Savings Type 2: Chilled Water",O10,0))</f>
        <v>0</v>
      </c>
      <c r="S10" s="455">
        <f t="shared" ref="S10:S73" si="10">F10+(IF($L$5="Other Savings Type 1: Chilled Water",L10,0)+IF($O$5="Other Savings Type 2: Chilled Water",O10,0))</f>
        <v>839284.58696753776</v>
      </c>
      <c r="T10" s="455">
        <f t="shared" si="6"/>
        <v>839284.58696753776</v>
      </c>
      <c r="U10" s="466"/>
    </row>
    <row r="11" spans="1:21" ht="17" thickBot="1">
      <c r="A11" s="75" t="str">
        <f>IF('Sch2a-Imp Price by ECM'!B12="","",'Sch2a-Imp Price by ECM'!B12)</f>
        <v>6A</v>
      </c>
      <c r="B11" s="174" t="str">
        <f>IF('Sch2a-Imp Price by ECM'!D12="","",'Sch2a-Imp Price by ECM'!D12)</f>
        <v>Upgrade Building Envelope</v>
      </c>
      <c r="C11" s="458" t="s">
        <v>567</v>
      </c>
      <c r="D11" s="454">
        <f>'Sch4-Cost Savings by ECM'!O11</f>
        <v>330408</v>
      </c>
      <c r="E11" s="454">
        <f>VLOOKUP(C11,'eGRID subregion name'!$A$2:$N$30,8,0)</f>
        <v>165.43871843990979</v>
      </c>
      <c r="F11" s="454">
        <f t="shared" si="7"/>
        <v>186507.68599278617</v>
      </c>
      <c r="G11" s="455">
        <f>'Sch4-Cost Savings by ECM'!S11</f>
        <v>504</v>
      </c>
      <c r="H11" s="455">
        <f>VLOOKUP("Natural Gas", 'GHG Emissions'!$D$2:$M$66,4,FALSE)+VLOOKUP("Natural Gas", 'GHG Emissions'!$D$2:$M$66,6,FALSE)*'eGRID subregion name'!$P$3+VLOOKUP("Natural Gas", 'GHG Emissions'!$D$2:$M$66,8,FALSE)*'eGRID subregion name'!$P$4</f>
        <v>53.114800000000002</v>
      </c>
      <c r="I11" s="455">
        <f t="shared" si="3"/>
        <v>26769.859200000003</v>
      </c>
      <c r="J11" s="455">
        <f>'Sch4-Cost Savings by ECM'!U11</f>
        <v>0</v>
      </c>
      <c r="K1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 s="455">
        <f t="shared" si="8"/>
        <v>0</v>
      </c>
      <c r="M11" s="455">
        <f>'Sch4-Cost Savings by ECM'!W11</f>
        <v>0</v>
      </c>
      <c r="N1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 s="455">
        <f t="shared" si="4"/>
        <v>0</v>
      </c>
      <c r="P11" s="457">
        <f t="shared" si="1"/>
        <v>1631.3520960000001</v>
      </c>
      <c r="Q11" s="455">
        <f>'Sch4-Cost Savings by ECM'!AA11</f>
        <v>0</v>
      </c>
      <c r="R11" s="455">
        <f t="shared" si="9"/>
        <v>26769.859200000003</v>
      </c>
      <c r="S11" s="455">
        <f t="shared" si="10"/>
        <v>186507.68599278617</v>
      </c>
      <c r="T11" s="455">
        <f t="shared" si="6"/>
        <v>213277.54519278617</v>
      </c>
      <c r="U11" s="466"/>
    </row>
    <row r="12" spans="1:21" ht="17" thickBot="1">
      <c r="A12" s="75" t="str">
        <f>IF('Sch2a-Imp Price by ECM'!B13="","",'Sch2a-Imp Price by ECM'!B13)</f>
        <v>11A</v>
      </c>
      <c r="B12" s="174" t="str">
        <f>IF('Sch2a-Imp Price by ECM'!D13="","",'Sch2a-Imp Price by ECM'!D13)</f>
        <v>Renewable Energy, BESS, EVSE</v>
      </c>
      <c r="C12" s="458" t="s">
        <v>567</v>
      </c>
      <c r="D12" s="454">
        <f>'Sch4-Cost Savings by ECM'!O12</f>
        <v>2117447</v>
      </c>
      <c r="E12" s="454">
        <f>VLOOKUP(C12,'eGRID subregion name'!$A$2:$N$30,8,0)</f>
        <v>165.43871843990979</v>
      </c>
      <c r="F12" s="454">
        <f t="shared" si="7"/>
        <v>1195249.9339676008</v>
      </c>
      <c r="G12" s="455">
        <f>'Sch4-Cost Savings by ECM'!S12</f>
        <v>0</v>
      </c>
      <c r="H12" s="455">
        <f>VLOOKUP("Natural Gas", 'GHG Emissions'!$D$2:$M$66,4,FALSE)+VLOOKUP("Natural Gas", 'GHG Emissions'!$D$2:$M$66,6,FALSE)*'eGRID subregion name'!$P$3+VLOOKUP("Natural Gas", 'GHG Emissions'!$D$2:$M$66,8,FALSE)*'eGRID subregion name'!$P$4</f>
        <v>53.114800000000002</v>
      </c>
      <c r="I12" s="455">
        <f t="shared" si="3"/>
        <v>0</v>
      </c>
      <c r="J12" s="455">
        <f>'Sch4-Cost Savings by ECM'!U12</f>
        <v>0</v>
      </c>
      <c r="K1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 s="455">
        <f t="shared" si="8"/>
        <v>0</v>
      </c>
      <c r="M12" s="455">
        <f>'Sch4-Cost Savings by ECM'!W12</f>
        <v>0</v>
      </c>
      <c r="N1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 s="455">
        <f t="shared" si="4"/>
        <v>0</v>
      </c>
      <c r="P12" s="457">
        <f t="shared" si="1"/>
        <v>7224.7291640000003</v>
      </c>
      <c r="Q12" s="455">
        <f>'Sch4-Cost Savings by ECM'!AA12</f>
        <v>0</v>
      </c>
      <c r="R12" s="455">
        <f t="shared" si="9"/>
        <v>0</v>
      </c>
      <c r="S12" s="455">
        <f t="shared" si="10"/>
        <v>1195249.9339676008</v>
      </c>
      <c r="T12" s="455">
        <f t="shared" si="6"/>
        <v>1195249.9339676008</v>
      </c>
      <c r="U12" s="466"/>
    </row>
    <row r="13" spans="1:21" ht="18" customHeight="1" thickBot="1">
      <c r="A13" s="75" t="str">
        <f>IF('Sch2a-Imp Price by ECM'!B14="","",'Sch2a-Imp Price by ECM'!B14)</f>
        <v>13A</v>
      </c>
      <c r="B13" s="174" t="str">
        <f>IF('Sch2a-Imp Price by ECM'!D14="","",'Sch2a-Imp Price by ECM'!D14)</f>
        <v>Water Improvements</v>
      </c>
      <c r="C13" s="458" t="s">
        <v>567</v>
      </c>
      <c r="D13" s="454">
        <f>'Sch4-Cost Savings by ECM'!O13</f>
        <v>0</v>
      </c>
      <c r="E13" s="454">
        <f>VLOOKUP(C13,'eGRID subregion name'!$A$2:$N$30,8,0)</f>
        <v>165.43871843990979</v>
      </c>
      <c r="F13" s="454">
        <f t="shared" si="7"/>
        <v>0</v>
      </c>
      <c r="G13" s="455">
        <f>'Sch4-Cost Savings by ECM'!S13</f>
        <v>677</v>
      </c>
      <c r="H13" s="455">
        <f>VLOOKUP("Natural Gas", 'GHG Emissions'!$D$2:$M$66,4,FALSE)+VLOOKUP("Natural Gas", 'GHG Emissions'!$D$2:$M$66,6,FALSE)*'eGRID subregion name'!$P$3+VLOOKUP("Natural Gas", 'GHG Emissions'!$D$2:$M$66,8,FALSE)*'eGRID subregion name'!$P$4</f>
        <v>53.114800000000002</v>
      </c>
      <c r="I13" s="455">
        <f t="shared" si="3"/>
        <v>35958.719600000004</v>
      </c>
      <c r="J13" s="455">
        <f>'Sch4-Cost Savings by ECM'!U13</f>
        <v>0</v>
      </c>
      <c r="K1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 s="455">
        <f t="shared" si="8"/>
        <v>0</v>
      </c>
      <c r="M13" s="455">
        <f>'Sch4-Cost Savings by ECM'!W13</f>
        <v>0</v>
      </c>
      <c r="N1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 s="455">
        <f t="shared" si="4"/>
        <v>0</v>
      </c>
      <c r="P13" s="457">
        <f t="shared" si="1"/>
        <v>677</v>
      </c>
      <c r="Q13" s="455">
        <f>'Sch4-Cost Savings by ECM'!AA13</f>
        <v>17677</v>
      </c>
      <c r="R13" s="455">
        <f t="shared" si="9"/>
        <v>35958.719600000004</v>
      </c>
      <c r="S13" s="455">
        <f t="shared" si="10"/>
        <v>0</v>
      </c>
      <c r="T13" s="455">
        <f t="shared" si="6"/>
        <v>35958.719600000004</v>
      </c>
      <c r="U13" s="466"/>
    </row>
    <row r="14" spans="1:21" ht="18" customHeight="1" thickBot="1">
      <c r="A14" s="75" t="str">
        <f>IF('Sch2a-Imp Price by ECM'!B15="","",'Sch2a-Imp Price by ECM'!B15)</f>
        <v/>
      </c>
      <c r="B14" s="174" t="str">
        <f>IF('Sch2a-Imp Price by ECM'!D15="","",'Sch2a-Imp Price by ECM'!D15)</f>
        <v/>
      </c>
      <c r="C14" s="458" t="s">
        <v>573</v>
      </c>
      <c r="D14" s="454">
        <f>'Sch4-Cost Savings by ECM'!O14</f>
        <v>0</v>
      </c>
      <c r="E14" s="454">
        <f>VLOOKUP(C14,'eGRID subregion name'!$A$2:$N$30,8,0)</f>
        <v>211.00066725460493</v>
      </c>
      <c r="F14" s="454">
        <f t="shared" si="7"/>
        <v>0</v>
      </c>
      <c r="G14" s="455">
        <f>'Sch4-Cost Savings by ECM'!S14</f>
        <v>0</v>
      </c>
      <c r="H14" s="455">
        <f>VLOOKUP("Natural Gas", 'GHG Emissions'!$D$2:$M$66,4,FALSE)+VLOOKUP("Natural Gas", 'GHG Emissions'!$D$2:$M$66,6,FALSE)*'eGRID subregion name'!$P$3+VLOOKUP("Natural Gas", 'GHG Emissions'!$D$2:$M$66,8,FALSE)*'eGRID subregion name'!$P$4</f>
        <v>53.114800000000002</v>
      </c>
      <c r="I14" s="455">
        <f t="shared" si="3"/>
        <v>0</v>
      </c>
      <c r="J14" s="455">
        <f>'Sch4-Cost Savings by ECM'!U14</f>
        <v>0</v>
      </c>
      <c r="K1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 s="455">
        <f t="shared" si="8"/>
        <v>0</v>
      </c>
      <c r="M14" s="455">
        <f>'Sch4-Cost Savings by ECM'!W14</f>
        <v>0</v>
      </c>
      <c r="N1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 s="455">
        <f t="shared" si="4"/>
        <v>0</v>
      </c>
      <c r="P14" s="457">
        <f t="shared" si="1"/>
        <v>0</v>
      </c>
      <c r="Q14" s="455">
        <f>'Sch4-Cost Savings by ECM'!AA14</f>
        <v>0</v>
      </c>
      <c r="R14" s="455">
        <f t="shared" si="9"/>
        <v>0</v>
      </c>
      <c r="S14" s="455">
        <f t="shared" si="10"/>
        <v>0</v>
      </c>
      <c r="T14" s="455">
        <f t="shared" si="6"/>
        <v>0</v>
      </c>
      <c r="U14" s="466"/>
    </row>
    <row r="15" spans="1:21" ht="17" thickBot="1">
      <c r="A15" s="75" t="str">
        <f>IF('Sch2a-Imp Price by ECM'!B16="","",'Sch2a-Imp Price by ECM'!B16)</f>
        <v/>
      </c>
      <c r="B15" s="174" t="str">
        <f>IF('Sch2a-Imp Price by ECM'!D16="","",'Sch2a-Imp Price by ECM'!D16)</f>
        <v/>
      </c>
      <c r="C15" s="458" t="s">
        <v>573</v>
      </c>
      <c r="D15" s="454">
        <f>'Sch4-Cost Savings by ECM'!O15</f>
        <v>0</v>
      </c>
      <c r="E15" s="454">
        <f>VLOOKUP(C15,'eGRID subregion name'!$A$2:$N$30,8,0)</f>
        <v>211.00066725460493</v>
      </c>
      <c r="F15" s="454">
        <f t="shared" si="7"/>
        <v>0</v>
      </c>
      <c r="G15" s="455">
        <f>'Sch4-Cost Savings by ECM'!S15</f>
        <v>0</v>
      </c>
      <c r="H15" s="455">
        <f>VLOOKUP("Natural Gas", 'GHG Emissions'!$D$2:$M$66,4,FALSE)+VLOOKUP("Natural Gas", 'GHG Emissions'!$D$2:$M$66,6,FALSE)*'eGRID subregion name'!$P$3+VLOOKUP("Natural Gas", 'GHG Emissions'!$D$2:$M$66,8,FALSE)*'eGRID subregion name'!$P$4</f>
        <v>53.114800000000002</v>
      </c>
      <c r="I15" s="455">
        <f t="shared" si="3"/>
        <v>0</v>
      </c>
      <c r="J15" s="455">
        <v>0</v>
      </c>
      <c r="K1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 s="455">
        <f t="shared" si="8"/>
        <v>0</v>
      </c>
      <c r="M15" s="455">
        <f>'Sch4-Cost Savings by ECM'!W15</f>
        <v>0</v>
      </c>
      <c r="N1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 s="455">
        <f t="shared" si="4"/>
        <v>0</v>
      </c>
      <c r="P15" s="457">
        <f t="shared" si="1"/>
        <v>0</v>
      </c>
      <c r="Q15" s="455">
        <f>'Sch4-Cost Savings by ECM'!AA15</f>
        <v>0</v>
      </c>
      <c r="R15" s="455">
        <f t="shared" si="9"/>
        <v>0</v>
      </c>
      <c r="S15" s="455">
        <f t="shared" si="10"/>
        <v>0</v>
      </c>
      <c r="T15" s="455">
        <f t="shared" si="6"/>
        <v>0</v>
      </c>
      <c r="U15" s="466"/>
    </row>
    <row r="16" spans="1:21" ht="17" thickBot="1">
      <c r="A16" s="75" t="str">
        <f>IF('Sch2a-Imp Price by ECM'!B17="","",'Sch2a-Imp Price by ECM'!B17)</f>
        <v/>
      </c>
      <c r="B16" s="174" t="str">
        <f>IF('Sch2a-Imp Price by ECM'!D17="","",'Sch2a-Imp Price by ECM'!D17)</f>
        <v/>
      </c>
      <c r="C16" s="458" t="s">
        <v>431</v>
      </c>
      <c r="D16" s="454">
        <f>'Sch4-Cost Savings by ECM'!O16</f>
        <v>0</v>
      </c>
      <c r="E16" s="454">
        <f>VLOOKUP(C16,'eGRID subregion name'!$A$2:$N$30,8,0)</f>
        <v>189.83531623683197</v>
      </c>
      <c r="F16" s="454">
        <f t="shared" si="7"/>
        <v>0</v>
      </c>
      <c r="G16" s="455">
        <f>'Sch4-Cost Savings by ECM'!S16</f>
        <v>0</v>
      </c>
      <c r="H16" s="455">
        <f>VLOOKUP("Natural Gas", 'GHG Emissions'!$D$2:$M$66,4,FALSE)+VLOOKUP("Natural Gas", 'GHG Emissions'!$D$2:$M$66,6,FALSE)*'eGRID subregion name'!$P$3+VLOOKUP("Natural Gas", 'GHG Emissions'!$D$2:$M$66,8,FALSE)*'eGRID subregion name'!$P$4</f>
        <v>53.114800000000002</v>
      </c>
      <c r="I16" s="455">
        <f t="shared" si="3"/>
        <v>0</v>
      </c>
      <c r="J16" s="455">
        <f>'Sch4-Cost Savings by ECM'!U16</f>
        <v>0</v>
      </c>
      <c r="K1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 s="455">
        <f t="shared" si="8"/>
        <v>0</v>
      </c>
      <c r="M16" s="455">
        <f>'Sch4-Cost Savings by ECM'!W16</f>
        <v>0</v>
      </c>
      <c r="N1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 s="455">
        <f t="shared" si="4"/>
        <v>0</v>
      </c>
      <c r="P16" s="457">
        <f t="shared" si="1"/>
        <v>0</v>
      </c>
      <c r="Q16" s="455">
        <f>'Sch4-Cost Savings by ECM'!AA16</f>
        <v>0</v>
      </c>
      <c r="R16" s="455">
        <f t="shared" si="9"/>
        <v>0</v>
      </c>
      <c r="S16" s="455">
        <f t="shared" si="10"/>
        <v>0</v>
      </c>
      <c r="T16" s="455">
        <f t="shared" si="6"/>
        <v>0</v>
      </c>
      <c r="U16" s="466"/>
    </row>
    <row r="17" spans="1:21" ht="17" thickBot="1">
      <c r="A17" s="75" t="str">
        <f>IF('Sch2a-Imp Price by ECM'!B18="","",'Sch2a-Imp Price by ECM'!B18)</f>
        <v/>
      </c>
      <c r="B17" s="174" t="str">
        <f>IF('Sch2a-Imp Price by ECM'!D18="","",'Sch2a-Imp Price by ECM'!D18)</f>
        <v/>
      </c>
      <c r="C17" s="458" t="s">
        <v>431</v>
      </c>
      <c r="D17" s="454">
        <f>'Sch4-Cost Savings by ECM'!O17</f>
        <v>0</v>
      </c>
      <c r="E17" s="454">
        <f>VLOOKUP(C17,'eGRID subregion name'!$A$2:$N$30,8,0)</f>
        <v>189.83531623683197</v>
      </c>
      <c r="F17" s="454">
        <f t="shared" si="7"/>
        <v>0</v>
      </c>
      <c r="G17" s="455">
        <f>'Sch4-Cost Savings by ECM'!S17</f>
        <v>0</v>
      </c>
      <c r="H17" s="455">
        <f>VLOOKUP("Natural Gas", 'GHG Emissions'!$D$2:$M$66,4,FALSE)+VLOOKUP("Natural Gas", 'GHG Emissions'!$D$2:$M$66,6,FALSE)*'eGRID subregion name'!$P$3+VLOOKUP("Natural Gas", 'GHG Emissions'!$D$2:$M$66,8,FALSE)*'eGRID subregion name'!$P$4</f>
        <v>53.114800000000002</v>
      </c>
      <c r="I17" s="455">
        <f t="shared" si="3"/>
        <v>0</v>
      </c>
      <c r="J17" s="455">
        <f>'Sch4-Cost Savings by ECM'!U17</f>
        <v>0</v>
      </c>
      <c r="K1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 s="455">
        <f t="shared" si="8"/>
        <v>0</v>
      </c>
      <c r="M17" s="455">
        <f>'Sch4-Cost Savings by ECM'!W17</f>
        <v>0</v>
      </c>
      <c r="N1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 s="455">
        <f t="shared" si="4"/>
        <v>0</v>
      </c>
      <c r="P17" s="457">
        <f t="shared" si="1"/>
        <v>0</v>
      </c>
      <c r="Q17" s="455">
        <f>'Sch4-Cost Savings by ECM'!AA17</f>
        <v>0</v>
      </c>
      <c r="R17" s="455">
        <f t="shared" si="9"/>
        <v>0</v>
      </c>
      <c r="S17" s="455">
        <f t="shared" si="10"/>
        <v>0</v>
      </c>
      <c r="T17" s="455">
        <f t="shared" si="6"/>
        <v>0</v>
      </c>
      <c r="U17" s="466"/>
    </row>
    <row r="18" spans="1:21" ht="17" thickBot="1">
      <c r="A18" s="75" t="str">
        <f>IF('Sch2a-Imp Price by ECM'!B19="","",'Sch2a-Imp Price by ECM'!B19)</f>
        <v/>
      </c>
      <c r="B18" s="174" t="str">
        <f>IF('Sch2a-Imp Price by ECM'!D19="","",'Sch2a-Imp Price by ECM'!D19)</f>
        <v/>
      </c>
      <c r="C18" s="458" t="s">
        <v>431</v>
      </c>
      <c r="D18" s="454">
        <f>'Sch4-Cost Savings by ECM'!O18</f>
        <v>0</v>
      </c>
      <c r="E18" s="454">
        <f>VLOOKUP(C18,'eGRID subregion name'!$A$2:$N$30,8,0)</f>
        <v>189.83531623683197</v>
      </c>
      <c r="F18" s="454">
        <f t="shared" si="7"/>
        <v>0</v>
      </c>
      <c r="G18" s="455">
        <f>'Sch4-Cost Savings by ECM'!S18</f>
        <v>0</v>
      </c>
      <c r="H18" s="455">
        <f>VLOOKUP("Natural Gas", 'GHG Emissions'!$D$2:$M$66,4,FALSE)+VLOOKUP("Natural Gas", 'GHG Emissions'!$D$2:$M$66,6,FALSE)*'eGRID subregion name'!$P$3+VLOOKUP("Natural Gas", 'GHG Emissions'!$D$2:$M$66,8,FALSE)*'eGRID subregion name'!$P$4</f>
        <v>53.114800000000002</v>
      </c>
      <c r="I18" s="455">
        <f t="shared" si="3"/>
        <v>0</v>
      </c>
      <c r="J18" s="455">
        <f>'Sch4-Cost Savings by ECM'!U18</f>
        <v>0</v>
      </c>
      <c r="K1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 s="455">
        <f t="shared" si="8"/>
        <v>0</v>
      </c>
      <c r="M18" s="455">
        <f>'Sch4-Cost Savings by ECM'!W18</f>
        <v>0</v>
      </c>
      <c r="N1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 s="455">
        <f t="shared" si="4"/>
        <v>0</v>
      </c>
      <c r="P18" s="457">
        <f t="shared" si="1"/>
        <v>0</v>
      </c>
      <c r="Q18" s="455">
        <f>'Sch4-Cost Savings by ECM'!AA18</f>
        <v>0</v>
      </c>
      <c r="R18" s="455">
        <f t="shared" si="9"/>
        <v>0</v>
      </c>
      <c r="S18" s="455">
        <f t="shared" si="10"/>
        <v>0</v>
      </c>
      <c r="T18" s="455">
        <f t="shared" si="6"/>
        <v>0</v>
      </c>
      <c r="U18" s="466"/>
    </row>
    <row r="19" spans="1:21" ht="17" thickBot="1">
      <c r="A19" s="75" t="str">
        <f>IF('Sch2a-Imp Price by ECM'!B20="","",'Sch2a-Imp Price by ECM'!B20)</f>
        <v/>
      </c>
      <c r="B19" s="174" t="str">
        <f>IF('Sch2a-Imp Price by ECM'!D20="","",'Sch2a-Imp Price by ECM'!D20)</f>
        <v/>
      </c>
      <c r="C19" s="458" t="s">
        <v>431</v>
      </c>
      <c r="D19" s="454">
        <f>'Sch4-Cost Savings by ECM'!O19</f>
        <v>0</v>
      </c>
      <c r="E19" s="454">
        <f>VLOOKUP(C19,'eGRID subregion name'!$A$2:$N$30,8,0)</f>
        <v>189.83531623683197</v>
      </c>
      <c r="F19" s="454">
        <f t="shared" si="7"/>
        <v>0</v>
      </c>
      <c r="G19" s="455">
        <f>'Sch4-Cost Savings by ECM'!S19</f>
        <v>0</v>
      </c>
      <c r="H19" s="455">
        <f>VLOOKUP("Natural Gas", 'GHG Emissions'!$D$2:$M$66,4,FALSE)+VLOOKUP("Natural Gas", 'GHG Emissions'!$D$2:$M$66,6,FALSE)*'eGRID subregion name'!$P$3+VLOOKUP("Natural Gas", 'GHG Emissions'!$D$2:$M$66,8,FALSE)*'eGRID subregion name'!$P$4</f>
        <v>53.114800000000002</v>
      </c>
      <c r="I19" s="455">
        <f t="shared" si="3"/>
        <v>0</v>
      </c>
      <c r="J19" s="455">
        <f>'Sch4-Cost Savings by ECM'!U19</f>
        <v>0</v>
      </c>
      <c r="K1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 s="455">
        <f t="shared" si="8"/>
        <v>0</v>
      </c>
      <c r="M19" s="455">
        <f>'Sch4-Cost Savings by ECM'!W19</f>
        <v>0</v>
      </c>
      <c r="N1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 s="455">
        <f t="shared" si="4"/>
        <v>0</v>
      </c>
      <c r="P19" s="457">
        <f t="shared" si="1"/>
        <v>0</v>
      </c>
      <c r="Q19" s="455">
        <f>'Sch4-Cost Savings by ECM'!AA19</f>
        <v>0</v>
      </c>
      <c r="R19" s="455">
        <f t="shared" si="9"/>
        <v>0</v>
      </c>
      <c r="S19" s="455">
        <f t="shared" si="10"/>
        <v>0</v>
      </c>
      <c r="T19" s="455">
        <f t="shared" si="6"/>
        <v>0</v>
      </c>
      <c r="U19" s="466"/>
    </row>
    <row r="20" spans="1:21" ht="17" thickBot="1">
      <c r="A20" s="75" t="str">
        <f>IF('Sch2a-Imp Price by ECM'!B21="","",'Sch2a-Imp Price by ECM'!B21)</f>
        <v/>
      </c>
      <c r="B20" s="174" t="str">
        <f>IF('Sch2a-Imp Price by ECM'!D21="","",'Sch2a-Imp Price by ECM'!D21)</f>
        <v/>
      </c>
      <c r="C20" s="458" t="s">
        <v>431</v>
      </c>
      <c r="D20" s="454">
        <f>'Sch4-Cost Savings by ECM'!O20</f>
        <v>0</v>
      </c>
      <c r="E20" s="454">
        <f>VLOOKUP(C20,'eGRID subregion name'!$A$2:$N$30,8,0)</f>
        <v>189.83531623683197</v>
      </c>
      <c r="F20" s="454">
        <f t="shared" si="7"/>
        <v>0</v>
      </c>
      <c r="G20" s="455">
        <f>'Sch4-Cost Savings by ECM'!S20</f>
        <v>0</v>
      </c>
      <c r="H20" s="455">
        <f>VLOOKUP("Natural Gas", 'GHG Emissions'!$D$2:$M$66,4,FALSE)+VLOOKUP("Natural Gas", 'GHG Emissions'!$D$2:$M$66,6,FALSE)*'eGRID subregion name'!$P$3+VLOOKUP("Natural Gas", 'GHG Emissions'!$D$2:$M$66,8,FALSE)*'eGRID subregion name'!$P$4</f>
        <v>53.114800000000002</v>
      </c>
      <c r="I20" s="455">
        <f t="shared" si="3"/>
        <v>0</v>
      </c>
      <c r="J20" s="455">
        <f>'Sch4-Cost Savings by ECM'!U20</f>
        <v>0</v>
      </c>
      <c r="K2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 s="455">
        <f t="shared" si="8"/>
        <v>0</v>
      </c>
      <c r="M20" s="455">
        <f>'Sch4-Cost Savings by ECM'!W20</f>
        <v>0</v>
      </c>
      <c r="N2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 s="455">
        <f t="shared" si="4"/>
        <v>0</v>
      </c>
      <c r="P20" s="457">
        <f t="shared" si="1"/>
        <v>0</v>
      </c>
      <c r="Q20" s="455">
        <f>'Sch4-Cost Savings by ECM'!AA20</f>
        <v>0</v>
      </c>
      <c r="R20" s="455">
        <f t="shared" si="9"/>
        <v>0</v>
      </c>
      <c r="S20" s="455">
        <f t="shared" si="10"/>
        <v>0</v>
      </c>
      <c r="T20" s="455">
        <f t="shared" si="6"/>
        <v>0</v>
      </c>
      <c r="U20" s="466"/>
    </row>
    <row r="21" spans="1:21" ht="17" thickBot="1">
      <c r="A21" s="75" t="str">
        <f>IF('Sch2a-Imp Price by ECM'!B22="","",'Sch2a-Imp Price by ECM'!B22)</f>
        <v/>
      </c>
      <c r="B21" s="174" t="str">
        <f>IF('Sch2a-Imp Price by ECM'!D22="","",'Sch2a-Imp Price by ECM'!D22)</f>
        <v/>
      </c>
      <c r="C21" s="458" t="s">
        <v>431</v>
      </c>
      <c r="D21" s="454">
        <f>'Sch4-Cost Savings by ECM'!O21</f>
        <v>0</v>
      </c>
      <c r="E21" s="454">
        <f>VLOOKUP(C21,'eGRID subregion name'!$A$2:$N$30,8,0)</f>
        <v>189.83531623683197</v>
      </c>
      <c r="F21" s="454">
        <f t="shared" si="7"/>
        <v>0</v>
      </c>
      <c r="G21" s="455">
        <f>'Sch4-Cost Savings by ECM'!S21</f>
        <v>0</v>
      </c>
      <c r="H21" s="455">
        <f>VLOOKUP("Natural Gas", 'GHG Emissions'!$D$2:$M$66,4,FALSE)+VLOOKUP("Natural Gas", 'GHG Emissions'!$D$2:$M$66,6,FALSE)*'eGRID subregion name'!$P$3+VLOOKUP("Natural Gas", 'GHG Emissions'!$D$2:$M$66,8,FALSE)*'eGRID subregion name'!$P$4</f>
        <v>53.114800000000002</v>
      </c>
      <c r="I21" s="455">
        <f t="shared" si="3"/>
        <v>0</v>
      </c>
      <c r="J21" s="455">
        <f>'Sch4-Cost Savings by ECM'!U21</f>
        <v>0</v>
      </c>
      <c r="K2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 s="455">
        <f t="shared" si="8"/>
        <v>0</v>
      </c>
      <c r="M21" s="455">
        <f>'Sch4-Cost Savings by ECM'!W21</f>
        <v>0</v>
      </c>
      <c r="N2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 s="455">
        <f t="shared" si="4"/>
        <v>0</v>
      </c>
      <c r="P21" s="457">
        <f t="shared" si="1"/>
        <v>0</v>
      </c>
      <c r="Q21" s="455">
        <f>'Sch4-Cost Savings by ECM'!AA21</f>
        <v>0</v>
      </c>
      <c r="R21" s="455">
        <f t="shared" si="9"/>
        <v>0</v>
      </c>
      <c r="S21" s="455">
        <f t="shared" si="10"/>
        <v>0</v>
      </c>
      <c r="T21" s="455">
        <f t="shared" si="6"/>
        <v>0</v>
      </c>
      <c r="U21" s="466"/>
    </row>
    <row r="22" spans="1:21" ht="17" thickBot="1">
      <c r="A22" s="75" t="str">
        <f>IF('Sch2a-Imp Price by ECM'!B23="","",'Sch2a-Imp Price by ECM'!B23)</f>
        <v/>
      </c>
      <c r="B22" s="174" t="str">
        <f>IF('Sch2a-Imp Price by ECM'!D23="","",'Sch2a-Imp Price by ECM'!D23)</f>
        <v/>
      </c>
      <c r="C22" s="458" t="s">
        <v>431</v>
      </c>
      <c r="D22" s="454">
        <f>'Sch4-Cost Savings by ECM'!O22</f>
        <v>0</v>
      </c>
      <c r="E22" s="454">
        <f>VLOOKUP(C22,'eGRID subregion name'!$A$2:$N$30,8,0)</f>
        <v>189.83531623683197</v>
      </c>
      <c r="F22" s="454">
        <f t="shared" si="7"/>
        <v>0</v>
      </c>
      <c r="G22" s="455">
        <f>'Sch4-Cost Savings by ECM'!S22</f>
        <v>0</v>
      </c>
      <c r="H22" s="455">
        <f>VLOOKUP("Natural Gas", 'GHG Emissions'!$D$2:$M$66,4,FALSE)+VLOOKUP("Natural Gas", 'GHG Emissions'!$D$2:$M$66,6,FALSE)*'eGRID subregion name'!$P$3+VLOOKUP("Natural Gas", 'GHG Emissions'!$D$2:$M$66,8,FALSE)*'eGRID subregion name'!$P$4</f>
        <v>53.114800000000002</v>
      </c>
      <c r="I22" s="455">
        <f t="shared" si="3"/>
        <v>0</v>
      </c>
      <c r="J22" s="455">
        <f>'Sch4-Cost Savings by ECM'!U22</f>
        <v>0</v>
      </c>
      <c r="K2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 s="455">
        <f t="shared" si="8"/>
        <v>0</v>
      </c>
      <c r="M22" s="455">
        <f>'Sch4-Cost Savings by ECM'!W22</f>
        <v>0</v>
      </c>
      <c r="N2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 s="455">
        <f t="shared" si="4"/>
        <v>0</v>
      </c>
      <c r="P22" s="457">
        <f t="shared" si="1"/>
        <v>0</v>
      </c>
      <c r="Q22" s="455">
        <f>'Sch4-Cost Savings by ECM'!AA22</f>
        <v>0</v>
      </c>
      <c r="R22" s="455">
        <f t="shared" si="9"/>
        <v>0</v>
      </c>
      <c r="S22" s="455">
        <f t="shared" si="10"/>
        <v>0</v>
      </c>
      <c r="T22" s="455">
        <f t="shared" si="6"/>
        <v>0</v>
      </c>
      <c r="U22" s="466"/>
    </row>
    <row r="23" spans="1:21" ht="17" thickBot="1">
      <c r="A23" s="75" t="str">
        <f>IF('Sch2a-Imp Price by ECM'!B24="","",'Sch2a-Imp Price by ECM'!B24)</f>
        <v/>
      </c>
      <c r="B23" s="174" t="str">
        <f>IF('Sch2a-Imp Price by ECM'!D24="","",'Sch2a-Imp Price by ECM'!D24)</f>
        <v/>
      </c>
      <c r="C23" s="458" t="s">
        <v>431</v>
      </c>
      <c r="D23" s="454">
        <f>'Sch4-Cost Savings by ECM'!O23</f>
        <v>0</v>
      </c>
      <c r="E23" s="454">
        <f>VLOOKUP(C23,'eGRID subregion name'!$A$2:$N$30,8,0)</f>
        <v>189.83531623683197</v>
      </c>
      <c r="F23" s="454">
        <f t="shared" si="7"/>
        <v>0</v>
      </c>
      <c r="G23" s="455">
        <f>'Sch4-Cost Savings by ECM'!S23</f>
        <v>0</v>
      </c>
      <c r="H23" s="455">
        <f>VLOOKUP("Natural Gas", 'GHG Emissions'!$D$2:$M$66,4,FALSE)+VLOOKUP("Natural Gas", 'GHG Emissions'!$D$2:$M$66,6,FALSE)*'eGRID subregion name'!$P$3+VLOOKUP("Natural Gas", 'GHG Emissions'!$D$2:$M$66,8,FALSE)*'eGRID subregion name'!$P$4</f>
        <v>53.114800000000002</v>
      </c>
      <c r="I23" s="455">
        <f t="shared" si="3"/>
        <v>0</v>
      </c>
      <c r="J23" s="455">
        <f>'Sch4-Cost Savings by ECM'!U23</f>
        <v>0</v>
      </c>
      <c r="K2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 s="455">
        <f t="shared" si="8"/>
        <v>0</v>
      </c>
      <c r="M23" s="455">
        <f>'Sch4-Cost Savings by ECM'!W23</f>
        <v>0</v>
      </c>
      <c r="N2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 s="455">
        <f t="shared" si="4"/>
        <v>0</v>
      </c>
      <c r="P23" s="457">
        <f t="shared" si="1"/>
        <v>0</v>
      </c>
      <c r="Q23" s="455">
        <f>'Sch4-Cost Savings by ECM'!AA23</f>
        <v>0</v>
      </c>
      <c r="R23" s="455">
        <f t="shared" si="9"/>
        <v>0</v>
      </c>
      <c r="S23" s="455">
        <f t="shared" si="10"/>
        <v>0</v>
      </c>
      <c r="T23" s="455">
        <f t="shared" si="6"/>
        <v>0</v>
      </c>
      <c r="U23" s="466"/>
    </row>
    <row r="24" spans="1:21" ht="17" thickBot="1">
      <c r="A24" s="75" t="str">
        <f>IF('Sch2a-Imp Price by ECM'!B25="","",'Sch2a-Imp Price by ECM'!B25)</f>
        <v/>
      </c>
      <c r="B24" s="174" t="str">
        <f>IF('Sch2a-Imp Price by ECM'!D25="","",'Sch2a-Imp Price by ECM'!D25)</f>
        <v/>
      </c>
      <c r="C24" s="458" t="s">
        <v>431</v>
      </c>
      <c r="D24" s="454">
        <f>'Sch4-Cost Savings by ECM'!O24</f>
        <v>0</v>
      </c>
      <c r="E24" s="454">
        <f>VLOOKUP(C24,'eGRID subregion name'!$A$2:$N$30,8,0)</f>
        <v>189.83531623683197</v>
      </c>
      <c r="F24" s="454">
        <f t="shared" si="7"/>
        <v>0</v>
      </c>
      <c r="G24" s="455">
        <f>'Sch4-Cost Savings by ECM'!S24</f>
        <v>0</v>
      </c>
      <c r="H24" s="455">
        <f>VLOOKUP("Natural Gas", 'GHG Emissions'!$D$2:$M$66,4,FALSE)+VLOOKUP("Natural Gas", 'GHG Emissions'!$D$2:$M$66,6,FALSE)*'eGRID subregion name'!$P$3+VLOOKUP("Natural Gas", 'GHG Emissions'!$D$2:$M$66,8,FALSE)*'eGRID subregion name'!$P$4</f>
        <v>53.114800000000002</v>
      </c>
      <c r="I24" s="455">
        <f t="shared" si="3"/>
        <v>0</v>
      </c>
      <c r="J24" s="455">
        <f>'Sch4-Cost Savings by ECM'!U24</f>
        <v>0</v>
      </c>
      <c r="K2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 s="455">
        <f t="shared" si="8"/>
        <v>0</v>
      </c>
      <c r="M24" s="455">
        <f>'Sch4-Cost Savings by ECM'!W24</f>
        <v>0</v>
      </c>
      <c r="N2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 s="455">
        <f t="shared" si="4"/>
        <v>0</v>
      </c>
      <c r="P24" s="457">
        <f t="shared" si="1"/>
        <v>0</v>
      </c>
      <c r="Q24" s="455">
        <f>'Sch4-Cost Savings by ECM'!AA24</f>
        <v>0</v>
      </c>
      <c r="R24" s="455">
        <f t="shared" si="9"/>
        <v>0</v>
      </c>
      <c r="S24" s="455">
        <f t="shared" si="10"/>
        <v>0</v>
      </c>
      <c r="T24" s="455">
        <f t="shared" si="6"/>
        <v>0</v>
      </c>
      <c r="U24" s="466"/>
    </row>
    <row r="25" spans="1:21" ht="17" thickBot="1">
      <c r="A25" s="75" t="str">
        <f>IF('Sch2a-Imp Price by ECM'!B26="","",'Sch2a-Imp Price by ECM'!B26)</f>
        <v/>
      </c>
      <c r="B25" s="174" t="str">
        <f>IF('Sch2a-Imp Price by ECM'!D26="","",'Sch2a-Imp Price by ECM'!D26)</f>
        <v/>
      </c>
      <c r="C25" s="458" t="s">
        <v>431</v>
      </c>
      <c r="D25" s="454">
        <f>'Sch4-Cost Savings by ECM'!O25</f>
        <v>0</v>
      </c>
      <c r="E25" s="454">
        <f>VLOOKUP(C25,'eGRID subregion name'!$A$2:$N$30,8,0)</f>
        <v>189.83531623683197</v>
      </c>
      <c r="F25" s="454">
        <f t="shared" si="7"/>
        <v>0</v>
      </c>
      <c r="G25" s="455">
        <f>'Sch4-Cost Savings by ECM'!S25</f>
        <v>0</v>
      </c>
      <c r="H25" s="455">
        <f>VLOOKUP("Natural Gas", 'GHG Emissions'!$D$2:$M$66,4,FALSE)+VLOOKUP("Natural Gas", 'GHG Emissions'!$D$2:$M$66,6,FALSE)*'eGRID subregion name'!$P$3+VLOOKUP("Natural Gas", 'GHG Emissions'!$D$2:$M$66,8,FALSE)*'eGRID subregion name'!$P$4</f>
        <v>53.114800000000002</v>
      </c>
      <c r="I25" s="455">
        <f t="shared" si="3"/>
        <v>0</v>
      </c>
      <c r="J25" s="455">
        <f>'Sch4-Cost Savings by ECM'!U25</f>
        <v>0</v>
      </c>
      <c r="K2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 s="455">
        <f t="shared" si="8"/>
        <v>0</v>
      </c>
      <c r="M25" s="455">
        <f>'Sch4-Cost Savings by ECM'!W25</f>
        <v>0</v>
      </c>
      <c r="N2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 s="455">
        <f t="shared" si="4"/>
        <v>0</v>
      </c>
      <c r="P25" s="457">
        <f t="shared" si="1"/>
        <v>0</v>
      </c>
      <c r="Q25" s="455">
        <f>'Sch4-Cost Savings by ECM'!AA25</f>
        <v>0</v>
      </c>
      <c r="R25" s="455">
        <f t="shared" si="9"/>
        <v>0</v>
      </c>
      <c r="S25" s="455">
        <f t="shared" si="10"/>
        <v>0</v>
      </c>
      <c r="T25" s="455">
        <f t="shared" si="6"/>
        <v>0</v>
      </c>
      <c r="U25" s="466"/>
    </row>
    <row r="26" spans="1:21" ht="17" thickBot="1">
      <c r="A26" s="75" t="str">
        <f>IF('Sch2a-Imp Price by ECM'!B27="","",'Sch2a-Imp Price by ECM'!B27)</f>
        <v/>
      </c>
      <c r="B26" s="174" t="str">
        <f>IF('Sch2a-Imp Price by ECM'!D27="","",'Sch2a-Imp Price by ECM'!D27)</f>
        <v/>
      </c>
      <c r="C26" s="458" t="s">
        <v>431</v>
      </c>
      <c r="D26" s="454">
        <f>'Sch4-Cost Savings by ECM'!O26</f>
        <v>0</v>
      </c>
      <c r="E26" s="454">
        <f>VLOOKUP(C26,'eGRID subregion name'!$A$2:$N$30,8,0)</f>
        <v>189.83531623683197</v>
      </c>
      <c r="F26" s="454">
        <f t="shared" si="7"/>
        <v>0</v>
      </c>
      <c r="G26" s="455">
        <f>'Sch4-Cost Savings by ECM'!S26</f>
        <v>0</v>
      </c>
      <c r="H26" s="455">
        <f>VLOOKUP("Natural Gas", 'GHG Emissions'!$D$2:$M$66,4,FALSE)+VLOOKUP("Natural Gas", 'GHG Emissions'!$D$2:$M$66,6,FALSE)*'eGRID subregion name'!$P$3+VLOOKUP("Natural Gas", 'GHG Emissions'!$D$2:$M$66,8,FALSE)*'eGRID subregion name'!$P$4</f>
        <v>53.114800000000002</v>
      </c>
      <c r="I26" s="455">
        <f t="shared" si="3"/>
        <v>0</v>
      </c>
      <c r="J26" s="455">
        <f>'Sch4-Cost Savings by ECM'!U26</f>
        <v>0</v>
      </c>
      <c r="K2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6" s="455">
        <f t="shared" si="8"/>
        <v>0</v>
      </c>
      <c r="M26" s="455">
        <f>'Sch4-Cost Savings by ECM'!W26</f>
        <v>0</v>
      </c>
      <c r="N2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6" s="455">
        <f t="shared" si="4"/>
        <v>0</v>
      </c>
      <c r="P26" s="457">
        <f t="shared" si="1"/>
        <v>0</v>
      </c>
      <c r="Q26" s="455">
        <f>'Sch4-Cost Savings by ECM'!AA26</f>
        <v>0</v>
      </c>
      <c r="R26" s="455">
        <f t="shared" si="9"/>
        <v>0</v>
      </c>
      <c r="S26" s="455">
        <f t="shared" si="10"/>
        <v>0</v>
      </c>
      <c r="T26" s="455">
        <f t="shared" si="6"/>
        <v>0</v>
      </c>
      <c r="U26" s="466"/>
    </row>
    <row r="27" spans="1:21" ht="17" thickBot="1">
      <c r="A27" s="75" t="str">
        <f>IF('Sch2a-Imp Price by ECM'!B28="","",'Sch2a-Imp Price by ECM'!B28)</f>
        <v/>
      </c>
      <c r="B27" s="174" t="str">
        <f>IF('Sch2a-Imp Price by ECM'!D28="","",'Sch2a-Imp Price by ECM'!D28)</f>
        <v/>
      </c>
      <c r="C27" s="458" t="s">
        <v>431</v>
      </c>
      <c r="D27" s="454">
        <f>'Sch4-Cost Savings by ECM'!O27</f>
        <v>0</v>
      </c>
      <c r="E27" s="454">
        <f>VLOOKUP(C27,'eGRID subregion name'!$A$2:$N$30,8,0)</f>
        <v>189.83531623683197</v>
      </c>
      <c r="F27" s="454">
        <f t="shared" si="7"/>
        <v>0</v>
      </c>
      <c r="G27" s="455">
        <f>'Sch4-Cost Savings by ECM'!S27</f>
        <v>0</v>
      </c>
      <c r="H27" s="455">
        <f>VLOOKUP("Natural Gas", 'GHG Emissions'!$D$2:$M$66,4,FALSE)+VLOOKUP("Natural Gas", 'GHG Emissions'!$D$2:$M$66,6,FALSE)*'eGRID subregion name'!$P$3+VLOOKUP("Natural Gas", 'GHG Emissions'!$D$2:$M$66,8,FALSE)*'eGRID subregion name'!$P$4</f>
        <v>53.114800000000002</v>
      </c>
      <c r="I27" s="455">
        <f t="shared" si="3"/>
        <v>0</v>
      </c>
      <c r="J27" s="455">
        <f>'Sch4-Cost Savings by ECM'!U27</f>
        <v>0</v>
      </c>
      <c r="K2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7" s="455">
        <f t="shared" si="8"/>
        <v>0</v>
      </c>
      <c r="M27" s="455">
        <f>'Sch4-Cost Savings by ECM'!W27</f>
        <v>0</v>
      </c>
      <c r="N2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7" s="455">
        <f t="shared" si="4"/>
        <v>0</v>
      </c>
      <c r="P27" s="457">
        <f t="shared" si="1"/>
        <v>0</v>
      </c>
      <c r="Q27" s="455">
        <f>'Sch4-Cost Savings by ECM'!AA27</f>
        <v>0</v>
      </c>
      <c r="R27" s="455">
        <f t="shared" si="9"/>
        <v>0</v>
      </c>
      <c r="S27" s="455">
        <f t="shared" si="10"/>
        <v>0</v>
      </c>
      <c r="T27" s="455">
        <f t="shared" si="6"/>
        <v>0</v>
      </c>
      <c r="U27" s="466"/>
    </row>
    <row r="28" spans="1:21" ht="17" thickBot="1">
      <c r="A28" s="75" t="str">
        <f>IF('Sch2a-Imp Price by ECM'!B29="","",'Sch2a-Imp Price by ECM'!B29)</f>
        <v/>
      </c>
      <c r="B28" s="174" t="str">
        <f>IF('Sch2a-Imp Price by ECM'!D29="","",'Sch2a-Imp Price by ECM'!D29)</f>
        <v/>
      </c>
      <c r="C28" s="458" t="s">
        <v>431</v>
      </c>
      <c r="D28" s="454">
        <f>'Sch4-Cost Savings by ECM'!O28</f>
        <v>0</v>
      </c>
      <c r="E28" s="454">
        <f>VLOOKUP(C28,'eGRID subregion name'!$A$2:$N$30,8,0)</f>
        <v>189.83531623683197</v>
      </c>
      <c r="F28" s="454">
        <f t="shared" si="7"/>
        <v>0</v>
      </c>
      <c r="G28" s="455">
        <f>'Sch4-Cost Savings by ECM'!S28</f>
        <v>0</v>
      </c>
      <c r="H28" s="455">
        <f>VLOOKUP("Natural Gas", 'GHG Emissions'!$D$2:$M$66,4,FALSE)+VLOOKUP("Natural Gas", 'GHG Emissions'!$D$2:$M$66,6,FALSE)*'eGRID subregion name'!$P$3+VLOOKUP("Natural Gas", 'GHG Emissions'!$D$2:$M$66,8,FALSE)*'eGRID subregion name'!$P$4</f>
        <v>53.114800000000002</v>
      </c>
      <c r="I28" s="455">
        <f t="shared" si="3"/>
        <v>0</v>
      </c>
      <c r="J28" s="455">
        <f>'Sch4-Cost Savings by ECM'!U28</f>
        <v>0</v>
      </c>
      <c r="K2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8" s="455">
        <f t="shared" si="8"/>
        <v>0</v>
      </c>
      <c r="M28" s="455">
        <f>'Sch4-Cost Savings by ECM'!W28</f>
        <v>0</v>
      </c>
      <c r="N2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8" s="455">
        <f t="shared" si="4"/>
        <v>0</v>
      </c>
      <c r="P28" s="457">
        <f t="shared" si="1"/>
        <v>0</v>
      </c>
      <c r="Q28" s="455">
        <f>'Sch4-Cost Savings by ECM'!AA28</f>
        <v>0</v>
      </c>
      <c r="R28" s="455">
        <f t="shared" si="9"/>
        <v>0</v>
      </c>
      <c r="S28" s="455">
        <f t="shared" si="10"/>
        <v>0</v>
      </c>
      <c r="T28" s="455">
        <f t="shared" si="6"/>
        <v>0</v>
      </c>
      <c r="U28" s="466"/>
    </row>
    <row r="29" spans="1:21" ht="17" thickBot="1">
      <c r="A29" s="75" t="str">
        <f>IF('Sch2a-Imp Price by ECM'!B30="","",'Sch2a-Imp Price by ECM'!B30)</f>
        <v/>
      </c>
      <c r="B29" s="174" t="str">
        <f>IF('Sch2a-Imp Price by ECM'!D30="","",'Sch2a-Imp Price by ECM'!D30)</f>
        <v/>
      </c>
      <c r="C29" s="458" t="s">
        <v>431</v>
      </c>
      <c r="D29" s="454">
        <f>'Sch4-Cost Savings by ECM'!O29</f>
        <v>0</v>
      </c>
      <c r="E29" s="454">
        <f>VLOOKUP(C29,'eGRID subregion name'!$A$2:$N$30,8,0)</f>
        <v>189.83531623683197</v>
      </c>
      <c r="F29" s="454">
        <f t="shared" si="7"/>
        <v>0</v>
      </c>
      <c r="G29" s="455">
        <f>'Sch4-Cost Savings by ECM'!S29</f>
        <v>0</v>
      </c>
      <c r="H29" s="455">
        <f>VLOOKUP("Natural Gas", 'GHG Emissions'!$D$2:$M$66,4,FALSE)+VLOOKUP("Natural Gas", 'GHG Emissions'!$D$2:$M$66,6,FALSE)*'eGRID subregion name'!$P$3+VLOOKUP("Natural Gas", 'GHG Emissions'!$D$2:$M$66,8,FALSE)*'eGRID subregion name'!$P$4</f>
        <v>53.114800000000002</v>
      </c>
      <c r="I29" s="455">
        <f t="shared" si="3"/>
        <v>0</v>
      </c>
      <c r="J29" s="455">
        <f>'Sch4-Cost Savings by ECM'!U29</f>
        <v>0</v>
      </c>
      <c r="K2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9" s="455">
        <f t="shared" si="8"/>
        <v>0</v>
      </c>
      <c r="M29" s="455">
        <f>'Sch4-Cost Savings by ECM'!W29</f>
        <v>0</v>
      </c>
      <c r="N2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9" s="455">
        <f t="shared" si="4"/>
        <v>0</v>
      </c>
      <c r="P29" s="457">
        <f t="shared" si="1"/>
        <v>0</v>
      </c>
      <c r="Q29" s="455">
        <f>'Sch4-Cost Savings by ECM'!AA29</f>
        <v>0</v>
      </c>
      <c r="R29" s="455">
        <f t="shared" si="9"/>
        <v>0</v>
      </c>
      <c r="S29" s="455">
        <f t="shared" si="10"/>
        <v>0</v>
      </c>
      <c r="T29" s="455">
        <f t="shared" si="6"/>
        <v>0</v>
      </c>
      <c r="U29" s="466"/>
    </row>
    <row r="30" spans="1:21" ht="17" thickBot="1">
      <c r="A30" s="75" t="str">
        <f>IF('Sch2a-Imp Price by ECM'!B31="","",'Sch2a-Imp Price by ECM'!B31)</f>
        <v/>
      </c>
      <c r="B30" s="174" t="str">
        <f>IF('Sch2a-Imp Price by ECM'!D31="","",'Sch2a-Imp Price by ECM'!D31)</f>
        <v/>
      </c>
      <c r="C30" s="458" t="s">
        <v>431</v>
      </c>
      <c r="D30" s="454">
        <f>'Sch4-Cost Savings by ECM'!O30</f>
        <v>0</v>
      </c>
      <c r="E30" s="454">
        <f>VLOOKUP(C30,'eGRID subregion name'!$A$2:$N$30,8,0)</f>
        <v>189.83531623683197</v>
      </c>
      <c r="F30" s="454">
        <f t="shared" si="7"/>
        <v>0</v>
      </c>
      <c r="G30" s="455">
        <f>'Sch4-Cost Savings by ECM'!S30</f>
        <v>0</v>
      </c>
      <c r="H30" s="455">
        <f>VLOOKUP("Natural Gas", 'GHG Emissions'!$D$2:$M$66,4,FALSE)+VLOOKUP("Natural Gas", 'GHG Emissions'!$D$2:$M$66,6,FALSE)*'eGRID subregion name'!$P$3+VLOOKUP("Natural Gas", 'GHG Emissions'!$D$2:$M$66,8,FALSE)*'eGRID subregion name'!$P$4</f>
        <v>53.114800000000002</v>
      </c>
      <c r="I30" s="455">
        <f t="shared" si="3"/>
        <v>0</v>
      </c>
      <c r="J30" s="455">
        <f>'Sch4-Cost Savings by ECM'!U30</f>
        <v>0</v>
      </c>
      <c r="K3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0" s="455">
        <f t="shared" si="8"/>
        <v>0</v>
      </c>
      <c r="M30" s="455">
        <f>'Sch4-Cost Savings by ECM'!W30</f>
        <v>0</v>
      </c>
      <c r="N3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0" s="455">
        <f t="shared" si="4"/>
        <v>0</v>
      </c>
      <c r="P30" s="457">
        <f t="shared" si="1"/>
        <v>0</v>
      </c>
      <c r="Q30" s="455">
        <f>'Sch4-Cost Savings by ECM'!AA30</f>
        <v>0</v>
      </c>
      <c r="R30" s="455">
        <f t="shared" si="9"/>
        <v>0</v>
      </c>
      <c r="S30" s="455">
        <f t="shared" si="10"/>
        <v>0</v>
      </c>
      <c r="T30" s="455">
        <f t="shared" si="6"/>
        <v>0</v>
      </c>
      <c r="U30" s="466"/>
    </row>
    <row r="31" spans="1:21" ht="17" thickBot="1">
      <c r="A31" s="75" t="str">
        <f>IF('Sch2a-Imp Price by ECM'!B32="","",'Sch2a-Imp Price by ECM'!B32)</f>
        <v/>
      </c>
      <c r="B31" s="174" t="str">
        <f>IF('Sch2a-Imp Price by ECM'!D32="","",'Sch2a-Imp Price by ECM'!D32)</f>
        <v/>
      </c>
      <c r="C31" s="458" t="s">
        <v>431</v>
      </c>
      <c r="D31" s="454">
        <f>'Sch4-Cost Savings by ECM'!O31</f>
        <v>0</v>
      </c>
      <c r="E31" s="454">
        <f>VLOOKUP(C31,'eGRID subregion name'!$A$2:$N$30,8,0)</f>
        <v>189.83531623683197</v>
      </c>
      <c r="F31" s="454">
        <f t="shared" si="7"/>
        <v>0</v>
      </c>
      <c r="G31" s="455">
        <f>'Sch4-Cost Savings by ECM'!S31</f>
        <v>0</v>
      </c>
      <c r="H31" s="455">
        <f>VLOOKUP("Natural Gas", 'GHG Emissions'!$D$2:$M$66,4,FALSE)+VLOOKUP("Natural Gas", 'GHG Emissions'!$D$2:$M$66,6,FALSE)*'eGRID subregion name'!$P$3+VLOOKUP("Natural Gas", 'GHG Emissions'!$D$2:$M$66,8,FALSE)*'eGRID subregion name'!$P$4</f>
        <v>53.114800000000002</v>
      </c>
      <c r="I31" s="455">
        <f t="shared" si="3"/>
        <v>0</v>
      </c>
      <c r="J31" s="455">
        <f>'Sch4-Cost Savings by ECM'!U31</f>
        <v>0</v>
      </c>
      <c r="K3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1" s="455">
        <f t="shared" si="8"/>
        <v>0</v>
      </c>
      <c r="M31" s="455">
        <f>'Sch4-Cost Savings by ECM'!W31</f>
        <v>0</v>
      </c>
      <c r="N3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1" s="455">
        <f t="shared" si="4"/>
        <v>0</v>
      </c>
      <c r="P31" s="457">
        <f t="shared" si="1"/>
        <v>0</v>
      </c>
      <c r="Q31" s="455">
        <f>'Sch4-Cost Savings by ECM'!AA31</f>
        <v>0</v>
      </c>
      <c r="R31" s="455">
        <f t="shared" si="9"/>
        <v>0</v>
      </c>
      <c r="S31" s="455">
        <f t="shared" si="10"/>
        <v>0</v>
      </c>
      <c r="T31" s="455">
        <f t="shared" si="6"/>
        <v>0</v>
      </c>
    </row>
    <row r="32" spans="1:21" ht="17" thickBot="1">
      <c r="A32" s="75" t="str">
        <f>IF('Sch2a-Imp Price by ECM'!B33="","",'Sch2a-Imp Price by ECM'!B33)</f>
        <v/>
      </c>
      <c r="B32" s="174" t="str">
        <f>IF('Sch2a-Imp Price by ECM'!D33="","",'Sch2a-Imp Price by ECM'!D33)</f>
        <v/>
      </c>
      <c r="C32" s="458" t="s">
        <v>431</v>
      </c>
      <c r="D32" s="454">
        <f>'Sch4-Cost Savings by ECM'!O32</f>
        <v>0</v>
      </c>
      <c r="E32" s="454">
        <f>VLOOKUP(C32,'eGRID subregion name'!$A$2:$N$30,8,0)</f>
        <v>189.83531623683197</v>
      </c>
      <c r="F32" s="454">
        <f t="shared" si="7"/>
        <v>0</v>
      </c>
      <c r="G32" s="455">
        <f>'Sch4-Cost Savings by ECM'!S32</f>
        <v>0</v>
      </c>
      <c r="H32" s="455">
        <f>VLOOKUP("Natural Gas", 'GHG Emissions'!$D$2:$M$66,4,FALSE)+VLOOKUP("Natural Gas", 'GHG Emissions'!$D$2:$M$66,6,FALSE)*'eGRID subregion name'!$P$3+VLOOKUP("Natural Gas", 'GHG Emissions'!$D$2:$M$66,8,FALSE)*'eGRID subregion name'!$P$4</f>
        <v>53.114800000000002</v>
      </c>
      <c r="I32" s="455">
        <f t="shared" si="3"/>
        <v>0</v>
      </c>
      <c r="J32" s="455">
        <f>'Sch4-Cost Savings by ECM'!U32</f>
        <v>0</v>
      </c>
      <c r="K3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2" s="455">
        <f t="shared" si="8"/>
        <v>0</v>
      </c>
      <c r="M32" s="455">
        <f>'Sch4-Cost Savings by ECM'!W32</f>
        <v>0</v>
      </c>
      <c r="N3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2" s="455">
        <f t="shared" si="4"/>
        <v>0</v>
      </c>
      <c r="P32" s="457">
        <f t="shared" si="1"/>
        <v>0</v>
      </c>
      <c r="Q32" s="455">
        <f>'Sch4-Cost Savings by ECM'!AA32</f>
        <v>0</v>
      </c>
      <c r="R32" s="455">
        <f t="shared" si="9"/>
        <v>0</v>
      </c>
      <c r="S32" s="455">
        <f t="shared" si="10"/>
        <v>0</v>
      </c>
      <c r="T32" s="455">
        <f t="shared" si="6"/>
        <v>0</v>
      </c>
    </row>
    <row r="33" spans="1:20" ht="17" thickBot="1">
      <c r="A33" s="75" t="str">
        <f>IF('Sch2a-Imp Price by ECM'!B34="","",'Sch2a-Imp Price by ECM'!B34)</f>
        <v/>
      </c>
      <c r="B33" s="174" t="str">
        <f>IF('Sch2a-Imp Price by ECM'!D34="","",'Sch2a-Imp Price by ECM'!D34)</f>
        <v/>
      </c>
      <c r="C33" s="458" t="s">
        <v>431</v>
      </c>
      <c r="D33" s="454">
        <f>'Sch4-Cost Savings by ECM'!O33</f>
        <v>0</v>
      </c>
      <c r="E33" s="454">
        <f>VLOOKUP(C33,'eGRID subregion name'!$A$2:$N$30,8,0)</f>
        <v>189.83531623683197</v>
      </c>
      <c r="F33" s="454">
        <f t="shared" si="7"/>
        <v>0</v>
      </c>
      <c r="G33" s="455">
        <f>'Sch4-Cost Savings by ECM'!S33</f>
        <v>0</v>
      </c>
      <c r="H33" s="455">
        <f>VLOOKUP("Natural Gas", 'GHG Emissions'!$D$2:$M$66,4,FALSE)+VLOOKUP("Natural Gas", 'GHG Emissions'!$D$2:$M$66,6,FALSE)*'eGRID subregion name'!$P$3+VLOOKUP("Natural Gas", 'GHG Emissions'!$D$2:$M$66,8,FALSE)*'eGRID subregion name'!$P$4</f>
        <v>53.114800000000002</v>
      </c>
      <c r="I33" s="455">
        <f t="shared" si="3"/>
        <v>0</v>
      </c>
      <c r="J33" s="455">
        <f>'Sch4-Cost Savings by ECM'!U33</f>
        <v>0</v>
      </c>
      <c r="K3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3" s="455">
        <f t="shared" si="8"/>
        <v>0</v>
      </c>
      <c r="M33" s="455">
        <f>'Sch4-Cost Savings by ECM'!W33</f>
        <v>0</v>
      </c>
      <c r="N3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3" s="455">
        <f t="shared" si="4"/>
        <v>0</v>
      </c>
      <c r="P33" s="457">
        <f t="shared" si="1"/>
        <v>0</v>
      </c>
      <c r="Q33" s="455">
        <f>'Sch4-Cost Savings by ECM'!AA33</f>
        <v>0</v>
      </c>
      <c r="R33" s="455">
        <f t="shared" si="9"/>
        <v>0</v>
      </c>
      <c r="S33" s="455">
        <f t="shared" si="10"/>
        <v>0</v>
      </c>
      <c r="T33" s="455">
        <f t="shared" si="6"/>
        <v>0</v>
      </c>
    </row>
    <row r="34" spans="1:20" ht="18" customHeight="1" thickBot="1">
      <c r="A34" s="75" t="str">
        <f>IF('Sch2a-Imp Price by ECM'!B35="","",'Sch2a-Imp Price by ECM'!B35)</f>
        <v/>
      </c>
      <c r="B34" s="174" t="str">
        <f>IF('Sch2a-Imp Price by ECM'!D35="","",'Sch2a-Imp Price by ECM'!D35)</f>
        <v/>
      </c>
      <c r="C34" s="458" t="s">
        <v>431</v>
      </c>
      <c r="D34" s="454">
        <f>'Sch4-Cost Savings by ECM'!O34</f>
        <v>0</v>
      </c>
      <c r="E34" s="454">
        <f>VLOOKUP(C34,'eGRID subregion name'!$A$2:$N$30,8,0)</f>
        <v>189.83531623683197</v>
      </c>
      <c r="F34" s="454">
        <f t="shared" si="7"/>
        <v>0</v>
      </c>
      <c r="G34" s="455">
        <f>'Sch4-Cost Savings by ECM'!S34</f>
        <v>0</v>
      </c>
      <c r="H34" s="455">
        <f>VLOOKUP("Natural Gas", 'GHG Emissions'!$D$2:$M$66,4,FALSE)+VLOOKUP("Natural Gas", 'GHG Emissions'!$D$2:$M$66,6,FALSE)*'eGRID subregion name'!$P$3+VLOOKUP("Natural Gas", 'GHG Emissions'!$D$2:$M$66,8,FALSE)*'eGRID subregion name'!$P$4</f>
        <v>53.114800000000002</v>
      </c>
      <c r="I34" s="455">
        <f t="shared" si="3"/>
        <v>0</v>
      </c>
      <c r="J34" s="455">
        <f>'Sch4-Cost Savings by ECM'!U34</f>
        <v>0</v>
      </c>
      <c r="K3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4" s="455">
        <f t="shared" si="8"/>
        <v>0</v>
      </c>
      <c r="M34" s="455">
        <f>'Sch4-Cost Savings by ECM'!W34</f>
        <v>0</v>
      </c>
      <c r="N3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4" s="455">
        <f t="shared" si="4"/>
        <v>0</v>
      </c>
      <c r="P34" s="457">
        <f t="shared" si="1"/>
        <v>0</v>
      </c>
      <c r="Q34" s="455">
        <f>'Sch4-Cost Savings by ECM'!AA34</f>
        <v>0</v>
      </c>
      <c r="R34" s="455">
        <f t="shared" si="9"/>
        <v>0</v>
      </c>
      <c r="S34" s="455">
        <f t="shared" si="10"/>
        <v>0</v>
      </c>
      <c r="T34" s="455">
        <f t="shared" si="6"/>
        <v>0</v>
      </c>
    </row>
    <row r="35" spans="1:20" ht="17" thickBot="1">
      <c r="A35" s="75" t="str">
        <f>IF('Sch2a-Imp Price by ECM'!B36="","",'Sch2a-Imp Price by ECM'!B36)</f>
        <v/>
      </c>
      <c r="B35" s="174" t="str">
        <f>IF('Sch2a-Imp Price by ECM'!D36="","",'Sch2a-Imp Price by ECM'!D36)</f>
        <v/>
      </c>
      <c r="C35" s="458" t="s">
        <v>431</v>
      </c>
      <c r="D35" s="454">
        <f>'Sch4-Cost Savings by ECM'!O35</f>
        <v>0</v>
      </c>
      <c r="E35" s="454">
        <f>VLOOKUP(C35,'eGRID subregion name'!$A$2:$N$30,8,0)</f>
        <v>189.83531623683197</v>
      </c>
      <c r="F35" s="454">
        <f t="shared" si="7"/>
        <v>0</v>
      </c>
      <c r="G35" s="455">
        <f>'Sch4-Cost Savings by ECM'!S35</f>
        <v>0</v>
      </c>
      <c r="H35" s="455">
        <f>VLOOKUP("Natural Gas", 'GHG Emissions'!$D$2:$M$66,4,FALSE)+VLOOKUP("Natural Gas", 'GHG Emissions'!$D$2:$M$66,6,FALSE)*'eGRID subregion name'!$P$3+VLOOKUP("Natural Gas", 'GHG Emissions'!$D$2:$M$66,8,FALSE)*'eGRID subregion name'!$P$4</f>
        <v>53.114800000000002</v>
      </c>
      <c r="I35" s="455">
        <f t="shared" si="3"/>
        <v>0</v>
      </c>
      <c r="J35" s="455">
        <f>'Sch4-Cost Savings by ECM'!U35</f>
        <v>0</v>
      </c>
      <c r="K3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5" s="455">
        <f t="shared" si="8"/>
        <v>0</v>
      </c>
      <c r="M35" s="455">
        <f>'Sch4-Cost Savings by ECM'!W35</f>
        <v>0</v>
      </c>
      <c r="N3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5" s="455">
        <f t="shared" si="4"/>
        <v>0</v>
      </c>
      <c r="P35" s="457">
        <f t="shared" si="1"/>
        <v>0</v>
      </c>
      <c r="Q35" s="455">
        <f>'Sch4-Cost Savings by ECM'!AA35</f>
        <v>0</v>
      </c>
      <c r="R35" s="455">
        <f t="shared" si="9"/>
        <v>0</v>
      </c>
      <c r="S35" s="455">
        <f t="shared" si="10"/>
        <v>0</v>
      </c>
      <c r="T35" s="455">
        <f t="shared" si="6"/>
        <v>0</v>
      </c>
    </row>
    <row r="36" spans="1:20" ht="17" thickBot="1">
      <c r="A36" s="75" t="str">
        <f>IF('Sch2a-Imp Price by ECM'!B37="","",'Sch2a-Imp Price by ECM'!B37)</f>
        <v/>
      </c>
      <c r="B36" s="174" t="str">
        <f>IF('Sch2a-Imp Price by ECM'!D37="","",'Sch2a-Imp Price by ECM'!D37)</f>
        <v/>
      </c>
      <c r="C36" s="458" t="s">
        <v>431</v>
      </c>
      <c r="D36" s="454">
        <f>'Sch4-Cost Savings by ECM'!O36</f>
        <v>0</v>
      </c>
      <c r="E36" s="454">
        <f>VLOOKUP(C36,'eGRID subregion name'!$A$2:$N$30,8,0)</f>
        <v>189.83531623683197</v>
      </c>
      <c r="F36" s="454">
        <f t="shared" si="7"/>
        <v>0</v>
      </c>
      <c r="G36" s="455">
        <f>'Sch4-Cost Savings by ECM'!S36</f>
        <v>0</v>
      </c>
      <c r="H36" s="455">
        <f>VLOOKUP("Natural Gas", 'GHG Emissions'!$D$2:$M$66,4,FALSE)+VLOOKUP("Natural Gas", 'GHG Emissions'!$D$2:$M$66,6,FALSE)*'eGRID subregion name'!$P$3+VLOOKUP("Natural Gas", 'GHG Emissions'!$D$2:$M$66,8,FALSE)*'eGRID subregion name'!$P$4</f>
        <v>53.114800000000002</v>
      </c>
      <c r="I36" s="455">
        <f t="shared" si="3"/>
        <v>0</v>
      </c>
      <c r="J36" s="455">
        <f>'Sch4-Cost Savings by ECM'!U36</f>
        <v>0</v>
      </c>
      <c r="K3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6" s="455">
        <f t="shared" si="8"/>
        <v>0</v>
      </c>
      <c r="M36" s="455">
        <f>'Sch4-Cost Savings by ECM'!W36</f>
        <v>0</v>
      </c>
      <c r="N3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6" s="455">
        <f t="shared" si="4"/>
        <v>0</v>
      </c>
      <c r="P36" s="457">
        <f t="shared" si="1"/>
        <v>0</v>
      </c>
      <c r="Q36" s="455">
        <f>'Sch4-Cost Savings by ECM'!AA36</f>
        <v>0</v>
      </c>
      <c r="R36" s="455">
        <f t="shared" si="9"/>
        <v>0</v>
      </c>
      <c r="S36" s="455">
        <f t="shared" si="10"/>
        <v>0</v>
      </c>
      <c r="T36" s="455">
        <f t="shared" si="6"/>
        <v>0</v>
      </c>
    </row>
    <row r="37" spans="1:20" ht="17" thickBot="1">
      <c r="A37" s="75" t="str">
        <f>IF('Sch2a-Imp Price by ECM'!B38="","",'Sch2a-Imp Price by ECM'!B38)</f>
        <v/>
      </c>
      <c r="B37" s="174" t="str">
        <f>IF('Sch2a-Imp Price by ECM'!D38="","",'Sch2a-Imp Price by ECM'!D38)</f>
        <v/>
      </c>
      <c r="C37" s="458" t="s">
        <v>431</v>
      </c>
      <c r="D37" s="454">
        <f>'Sch4-Cost Savings by ECM'!O37</f>
        <v>0</v>
      </c>
      <c r="E37" s="454">
        <f>VLOOKUP(C37,'eGRID subregion name'!$A$2:$N$30,8,0)</f>
        <v>189.83531623683197</v>
      </c>
      <c r="F37" s="454">
        <f t="shared" si="7"/>
        <v>0</v>
      </c>
      <c r="G37" s="455">
        <f>'Sch4-Cost Savings by ECM'!S37</f>
        <v>0</v>
      </c>
      <c r="H37" s="455">
        <f>VLOOKUP("Natural Gas", 'GHG Emissions'!$D$2:$M$66,4,FALSE)+VLOOKUP("Natural Gas", 'GHG Emissions'!$D$2:$M$66,6,FALSE)*'eGRID subregion name'!$P$3+VLOOKUP("Natural Gas", 'GHG Emissions'!$D$2:$M$66,8,FALSE)*'eGRID subregion name'!$P$4</f>
        <v>53.114800000000002</v>
      </c>
      <c r="I37" s="455">
        <f t="shared" si="3"/>
        <v>0</v>
      </c>
      <c r="J37" s="455">
        <f>'Sch4-Cost Savings by ECM'!U37</f>
        <v>0</v>
      </c>
      <c r="K3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7" s="455">
        <f t="shared" si="8"/>
        <v>0</v>
      </c>
      <c r="M37" s="455">
        <f>'Sch4-Cost Savings by ECM'!W37</f>
        <v>0</v>
      </c>
      <c r="N3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7" s="455">
        <f t="shared" si="4"/>
        <v>0</v>
      </c>
      <c r="P37" s="457">
        <f t="shared" si="1"/>
        <v>0</v>
      </c>
      <c r="Q37" s="455">
        <f>'Sch4-Cost Savings by ECM'!AA37</f>
        <v>0</v>
      </c>
      <c r="R37" s="455">
        <f t="shared" si="9"/>
        <v>0</v>
      </c>
      <c r="S37" s="455">
        <f t="shared" si="10"/>
        <v>0</v>
      </c>
      <c r="T37" s="455">
        <f t="shared" si="6"/>
        <v>0</v>
      </c>
    </row>
    <row r="38" spans="1:20" ht="17" thickBot="1">
      <c r="A38" s="75" t="str">
        <f>IF('Sch2a-Imp Price by ECM'!B39="","",'Sch2a-Imp Price by ECM'!B39)</f>
        <v/>
      </c>
      <c r="B38" s="174" t="str">
        <f>IF('Sch2a-Imp Price by ECM'!D39="","",'Sch2a-Imp Price by ECM'!D39)</f>
        <v/>
      </c>
      <c r="C38" s="458" t="s">
        <v>431</v>
      </c>
      <c r="D38" s="454">
        <f>'Sch4-Cost Savings by ECM'!O38</f>
        <v>0</v>
      </c>
      <c r="E38" s="454">
        <f>VLOOKUP(C38,'eGRID subregion name'!$A$2:$N$30,8,0)</f>
        <v>189.83531623683197</v>
      </c>
      <c r="F38" s="454">
        <f t="shared" si="7"/>
        <v>0</v>
      </c>
      <c r="G38" s="455">
        <f>'Sch4-Cost Savings by ECM'!S38</f>
        <v>0</v>
      </c>
      <c r="H38" s="455">
        <f>VLOOKUP("Natural Gas", 'GHG Emissions'!$D$2:$M$66,4,FALSE)+VLOOKUP("Natural Gas", 'GHG Emissions'!$D$2:$M$66,6,FALSE)*'eGRID subregion name'!$P$3+VLOOKUP("Natural Gas", 'GHG Emissions'!$D$2:$M$66,8,FALSE)*'eGRID subregion name'!$P$4</f>
        <v>53.114800000000002</v>
      </c>
      <c r="I38" s="455">
        <f t="shared" si="3"/>
        <v>0</v>
      </c>
      <c r="J38" s="455">
        <f>'Sch4-Cost Savings by ECM'!U38</f>
        <v>0</v>
      </c>
      <c r="K3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8" s="455">
        <f t="shared" si="8"/>
        <v>0</v>
      </c>
      <c r="M38" s="455">
        <f>'Sch4-Cost Savings by ECM'!W38</f>
        <v>0</v>
      </c>
      <c r="N3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8" s="455">
        <f t="shared" si="4"/>
        <v>0</v>
      </c>
      <c r="P38" s="457">
        <f t="shared" si="1"/>
        <v>0</v>
      </c>
      <c r="Q38" s="455">
        <f>'Sch4-Cost Savings by ECM'!AA38</f>
        <v>0</v>
      </c>
      <c r="R38" s="455">
        <f t="shared" si="9"/>
        <v>0</v>
      </c>
      <c r="S38" s="455">
        <f t="shared" si="10"/>
        <v>0</v>
      </c>
      <c r="T38" s="455">
        <f t="shared" si="6"/>
        <v>0</v>
      </c>
    </row>
    <row r="39" spans="1:20" ht="17" thickBot="1">
      <c r="A39" s="75" t="str">
        <f>IF('Sch2a-Imp Price by ECM'!B40="","",'Sch2a-Imp Price by ECM'!B40)</f>
        <v/>
      </c>
      <c r="B39" s="174" t="str">
        <f>IF('Sch2a-Imp Price by ECM'!D40="","",'Sch2a-Imp Price by ECM'!D40)</f>
        <v/>
      </c>
      <c r="C39" s="458" t="s">
        <v>431</v>
      </c>
      <c r="D39" s="454">
        <f>'Sch4-Cost Savings by ECM'!O39</f>
        <v>0</v>
      </c>
      <c r="E39" s="454">
        <f>VLOOKUP(C39,'eGRID subregion name'!$A$2:$N$30,8,0)</f>
        <v>189.83531623683197</v>
      </c>
      <c r="F39" s="454">
        <f t="shared" si="7"/>
        <v>0</v>
      </c>
      <c r="G39" s="455">
        <f>'Sch4-Cost Savings by ECM'!S39</f>
        <v>0</v>
      </c>
      <c r="H39" s="455">
        <f>VLOOKUP("Natural Gas", 'GHG Emissions'!$D$2:$M$66,4,FALSE)+VLOOKUP("Natural Gas", 'GHG Emissions'!$D$2:$M$66,6,FALSE)*'eGRID subregion name'!$P$3+VLOOKUP("Natural Gas", 'GHG Emissions'!$D$2:$M$66,8,FALSE)*'eGRID subregion name'!$P$4</f>
        <v>53.114800000000002</v>
      </c>
      <c r="I39" s="455">
        <f t="shared" si="3"/>
        <v>0</v>
      </c>
      <c r="J39" s="455">
        <f>'Sch4-Cost Savings by ECM'!U39</f>
        <v>0</v>
      </c>
      <c r="K3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39" s="455">
        <f t="shared" si="8"/>
        <v>0</v>
      </c>
      <c r="M39" s="455">
        <f>'Sch4-Cost Savings by ECM'!W39</f>
        <v>0</v>
      </c>
      <c r="N3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39" s="455">
        <f t="shared" si="4"/>
        <v>0</v>
      </c>
      <c r="P39" s="457">
        <f t="shared" si="1"/>
        <v>0</v>
      </c>
      <c r="Q39" s="455">
        <f>'Sch4-Cost Savings by ECM'!AA39</f>
        <v>0</v>
      </c>
      <c r="R39" s="455">
        <f t="shared" si="9"/>
        <v>0</v>
      </c>
      <c r="S39" s="455">
        <f t="shared" si="10"/>
        <v>0</v>
      </c>
      <c r="T39" s="455">
        <f t="shared" si="6"/>
        <v>0</v>
      </c>
    </row>
    <row r="40" spans="1:20" ht="17" thickBot="1">
      <c r="A40" s="75" t="str">
        <f>IF('Sch2a-Imp Price by ECM'!B41="","",'Sch2a-Imp Price by ECM'!B41)</f>
        <v/>
      </c>
      <c r="B40" s="174" t="str">
        <f>IF('Sch2a-Imp Price by ECM'!D41="","",'Sch2a-Imp Price by ECM'!D41)</f>
        <v/>
      </c>
      <c r="C40" s="458" t="s">
        <v>431</v>
      </c>
      <c r="D40" s="454">
        <f>'Sch4-Cost Savings by ECM'!O40</f>
        <v>0</v>
      </c>
      <c r="E40" s="454">
        <f>VLOOKUP(C40,'eGRID subregion name'!$A$2:$N$30,8,0)</f>
        <v>189.83531623683197</v>
      </c>
      <c r="F40" s="454">
        <f t="shared" si="7"/>
        <v>0</v>
      </c>
      <c r="G40" s="455">
        <f>'Sch4-Cost Savings by ECM'!S40</f>
        <v>0</v>
      </c>
      <c r="H40" s="455">
        <f>VLOOKUP("Natural Gas", 'GHG Emissions'!$D$2:$M$66,4,FALSE)+VLOOKUP("Natural Gas", 'GHG Emissions'!$D$2:$M$66,6,FALSE)*'eGRID subregion name'!$P$3+VLOOKUP("Natural Gas", 'GHG Emissions'!$D$2:$M$66,8,FALSE)*'eGRID subregion name'!$P$4</f>
        <v>53.114800000000002</v>
      </c>
      <c r="I40" s="455">
        <f t="shared" si="3"/>
        <v>0</v>
      </c>
      <c r="J40" s="455">
        <f>'Sch4-Cost Savings by ECM'!U40</f>
        <v>0</v>
      </c>
      <c r="K4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0" s="455">
        <f t="shared" si="8"/>
        <v>0</v>
      </c>
      <c r="M40" s="455">
        <f>'Sch4-Cost Savings by ECM'!W40</f>
        <v>0</v>
      </c>
      <c r="N4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0" s="455">
        <f t="shared" si="4"/>
        <v>0</v>
      </c>
      <c r="P40" s="457">
        <f t="shared" si="1"/>
        <v>0</v>
      </c>
      <c r="Q40" s="455">
        <f>'Sch4-Cost Savings by ECM'!AA40</f>
        <v>0</v>
      </c>
      <c r="R40" s="455">
        <f t="shared" si="9"/>
        <v>0</v>
      </c>
      <c r="S40" s="455">
        <f t="shared" si="10"/>
        <v>0</v>
      </c>
      <c r="T40" s="455">
        <f t="shared" si="6"/>
        <v>0</v>
      </c>
    </row>
    <row r="41" spans="1:20" ht="17" thickBot="1">
      <c r="A41" s="75" t="str">
        <f>IF('Sch2a-Imp Price by ECM'!B42="","",'Sch2a-Imp Price by ECM'!B42)</f>
        <v/>
      </c>
      <c r="B41" s="174" t="str">
        <f>IF('Sch2a-Imp Price by ECM'!D42="","",'Sch2a-Imp Price by ECM'!D42)</f>
        <v/>
      </c>
      <c r="C41" s="458" t="s">
        <v>431</v>
      </c>
      <c r="D41" s="454">
        <f>'Sch4-Cost Savings by ECM'!O41</f>
        <v>0</v>
      </c>
      <c r="E41" s="454">
        <f>VLOOKUP(C41,'eGRID subregion name'!$A$2:$N$30,8,0)</f>
        <v>189.83531623683197</v>
      </c>
      <c r="F41" s="454">
        <f t="shared" si="7"/>
        <v>0</v>
      </c>
      <c r="G41" s="455">
        <f>'Sch4-Cost Savings by ECM'!S41</f>
        <v>0</v>
      </c>
      <c r="H41" s="455">
        <f>VLOOKUP("Natural Gas", 'GHG Emissions'!$D$2:$M$66,4,FALSE)+VLOOKUP("Natural Gas", 'GHG Emissions'!$D$2:$M$66,6,FALSE)*'eGRID subregion name'!$P$3+VLOOKUP("Natural Gas", 'GHG Emissions'!$D$2:$M$66,8,FALSE)*'eGRID subregion name'!$P$4</f>
        <v>53.114800000000002</v>
      </c>
      <c r="I41" s="455">
        <f t="shared" si="3"/>
        <v>0</v>
      </c>
      <c r="J41" s="455">
        <f>'Sch4-Cost Savings by ECM'!U41</f>
        <v>0</v>
      </c>
      <c r="K4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1" s="455">
        <f t="shared" si="8"/>
        <v>0</v>
      </c>
      <c r="M41" s="455">
        <f>'Sch4-Cost Savings by ECM'!W41</f>
        <v>0</v>
      </c>
      <c r="N4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1" s="455">
        <f t="shared" si="4"/>
        <v>0</v>
      </c>
      <c r="P41" s="457">
        <f t="shared" si="1"/>
        <v>0</v>
      </c>
      <c r="Q41" s="455">
        <f>'Sch4-Cost Savings by ECM'!AA41</f>
        <v>0</v>
      </c>
      <c r="R41" s="455">
        <f t="shared" si="9"/>
        <v>0</v>
      </c>
      <c r="S41" s="455">
        <f t="shared" si="10"/>
        <v>0</v>
      </c>
      <c r="T41" s="455">
        <f t="shared" si="6"/>
        <v>0</v>
      </c>
    </row>
    <row r="42" spans="1:20" ht="17" thickBot="1">
      <c r="A42" s="75" t="str">
        <f>IF('Sch2a-Imp Price by ECM'!B43="","",'Sch2a-Imp Price by ECM'!B43)</f>
        <v/>
      </c>
      <c r="B42" s="174" t="str">
        <f>IF('Sch2a-Imp Price by ECM'!D43="","",'Sch2a-Imp Price by ECM'!D43)</f>
        <v/>
      </c>
      <c r="C42" s="458" t="s">
        <v>431</v>
      </c>
      <c r="D42" s="454">
        <f>'Sch4-Cost Savings by ECM'!O42</f>
        <v>0</v>
      </c>
      <c r="E42" s="454">
        <f>VLOOKUP(C42,'eGRID subregion name'!$A$2:$N$30,8,0)</f>
        <v>189.83531623683197</v>
      </c>
      <c r="F42" s="454">
        <f t="shared" si="7"/>
        <v>0</v>
      </c>
      <c r="G42" s="455">
        <f>'Sch4-Cost Savings by ECM'!S42</f>
        <v>0</v>
      </c>
      <c r="H42" s="455">
        <f>VLOOKUP("Natural Gas", 'GHG Emissions'!$D$2:$M$66,4,FALSE)+VLOOKUP("Natural Gas", 'GHG Emissions'!$D$2:$M$66,6,FALSE)*'eGRID subregion name'!$P$3+VLOOKUP("Natural Gas", 'GHG Emissions'!$D$2:$M$66,8,FALSE)*'eGRID subregion name'!$P$4</f>
        <v>53.114800000000002</v>
      </c>
      <c r="I42" s="455">
        <f t="shared" si="3"/>
        <v>0</v>
      </c>
      <c r="J42" s="455">
        <f>'Sch4-Cost Savings by ECM'!U42</f>
        <v>0</v>
      </c>
      <c r="K4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2" s="455">
        <f t="shared" si="8"/>
        <v>0</v>
      </c>
      <c r="M42" s="455">
        <f>'Sch4-Cost Savings by ECM'!W42</f>
        <v>0</v>
      </c>
      <c r="N4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2" s="455">
        <f t="shared" si="4"/>
        <v>0</v>
      </c>
      <c r="P42" s="457">
        <f t="shared" si="1"/>
        <v>0</v>
      </c>
      <c r="Q42" s="455">
        <f>'Sch4-Cost Savings by ECM'!AA42</f>
        <v>0</v>
      </c>
      <c r="R42" s="455">
        <f t="shared" si="9"/>
        <v>0</v>
      </c>
      <c r="S42" s="455">
        <f t="shared" si="10"/>
        <v>0</v>
      </c>
      <c r="T42" s="455">
        <f t="shared" si="6"/>
        <v>0</v>
      </c>
    </row>
    <row r="43" spans="1:20" ht="17" thickBot="1">
      <c r="A43" s="75" t="str">
        <f>IF('Sch2a-Imp Price by ECM'!B44="","",'Sch2a-Imp Price by ECM'!B44)</f>
        <v/>
      </c>
      <c r="B43" s="174" t="str">
        <f>IF('Sch2a-Imp Price by ECM'!D44="","",'Sch2a-Imp Price by ECM'!D44)</f>
        <v/>
      </c>
      <c r="C43" s="458" t="s">
        <v>431</v>
      </c>
      <c r="D43" s="454">
        <f>'Sch4-Cost Savings by ECM'!O43</f>
        <v>0</v>
      </c>
      <c r="E43" s="454">
        <f>VLOOKUP(C43,'eGRID subregion name'!$A$2:$N$30,8,0)</f>
        <v>189.83531623683197</v>
      </c>
      <c r="F43" s="454">
        <f t="shared" si="7"/>
        <v>0</v>
      </c>
      <c r="G43" s="455">
        <f>'Sch4-Cost Savings by ECM'!S43</f>
        <v>0</v>
      </c>
      <c r="H43" s="455">
        <f>VLOOKUP("Natural Gas", 'GHG Emissions'!$D$2:$M$66,4,FALSE)+VLOOKUP("Natural Gas", 'GHG Emissions'!$D$2:$M$66,6,FALSE)*'eGRID subregion name'!$P$3+VLOOKUP("Natural Gas", 'GHG Emissions'!$D$2:$M$66,8,FALSE)*'eGRID subregion name'!$P$4</f>
        <v>53.114800000000002</v>
      </c>
      <c r="I43" s="455">
        <f t="shared" si="3"/>
        <v>0</v>
      </c>
      <c r="J43" s="455">
        <f>'Sch4-Cost Savings by ECM'!U43</f>
        <v>0</v>
      </c>
      <c r="K4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3" s="455">
        <f t="shared" si="8"/>
        <v>0</v>
      </c>
      <c r="M43" s="455">
        <f>'Sch4-Cost Savings by ECM'!W43</f>
        <v>0</v>
      </c>
      <c r="N4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3" s="455">
        <f t="shared" si="4"/>
        <v>0</v>
      </c>
      <c r="P43" s="457">
        <f t="shared" si="1"/>
        <v>0</v>
      </c>
      <c r="Q43" s="455">
        <f>'Sch4-Cost Savings by ECM'!AA43</f>
        <v>0</v>
      </c>
      <c r="R43" s="455">
        <f t="shared" si="9"/>
        <v>0</v>
      </c>
      <c r="S43" s="455">
        <f t="shared" si="10"/>
        <v>0</v>
      </c>
      <c r="T43" s="455">
        <f t="shared" si="6"/>
        <v>0</v>
      </c>
    </row>
    <row r="44" spans="1:20" ht="17" thickBot="1">
      <c r="A44" s="75" t="str">
        <f>IF('Sch2a-Imp Price by ECM'!B45="","",'Sch2a-Imp Price by ECM'!B45)</f>
        <v/>
      </c>
      <c r="B44" s="174" t="str">
        <f>IF('Sch2a-Imp Price by ECM'!D45="","",'Sch2a-Imp Price by ECM'!D45)</f>
        <v/>
      </c>
      <c r="C44" s="458" t="s">
        <v>431</v>
      </c>
      <c r="D44" s="454">
        <f>'Sch4-Cost Savings by ECM'!O44</f>
        <v>0</v>
      </c>
      <c r="E44" s="454">
        <f>VLOOKUP(C44,'eGRID subregion name'!$A$2:$N$30,8,0)</f>
        <v>189.83531623683197</v>
      </c>
      <c r="F44" s="454">
        <f t="shared" si="7"/>
        <v>0</v>
      </c>
      <c r="G44" s="455">
        <f>'Sch4-Cost Savings by ECM'!S44</f>
        <v>0</v>
      </c>
      <c r="H44" s="455">
        <f>VLOOKUP("Natural Gas", 'GHG Emissions'!$D$2:$M$66,4,FALSE)+VLOOKUP("Natural Gas", 'GHG Emissions'!$D$2:$M$66,6,FALSE)*'eGRID subregion name'!$P$3+VLOOKUP("Natural Gas", 'GHG Emissions'!$D$2:$M$66,8,FALSE)*'eGRID subregion name'!$P$4</f>
        <v>53.114800000000002</v>
      </c>
      <c r="I44" s="455">
        <f t="shared" si="3"/>
        <v>0</v>
      </c>
      <c r="J44" s="455">
        <f>'Sch4-Cost Savings by ECM'!U44</f>
        <v>0</v>
      </c>
      <c r="K4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4" s="455">
        <f t="shared" si="8"/>
        <v>0</v>
      </c>
      <c r="M44" s="455">
        <f>'Sch4-Cost Savings by ECM'!W44</f>
        <v>0</v>
      </c>
      <c r="N4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4" s="455">
        <f t="shared" si="4"/>
        <v>0</v>
      </c>
      <c r="P44" s="457">
        <f t="shared" si="1"/>
        <v>0</v>
      </c>
      <c r="Q44" s="455">
        <f>'Sch4-Cost Savings by ECM'!AA44</f>
        <v>0</v>
      </c>
      <c r="R44" s="455">
        <f t="shared" si="9"/>
        <v>0</v>
      </c>
      <c r="S44" s="455">
        <f t="shared" si="10"/>
        <v>0</v>
      </c>
      <c r="T44" s="455">
        <f t="shared" si="6"/>
        <v>0</v>
      </c>
    </row>
    <row r="45" spans="1:20" ht="17" thickBot="1">
      <c r="A45" s="75" t="str">
        <f>IF('Sch2a-Imp Price by ECM'!B46="","",'Sch2a-Imp Price by ECM'!B46)</f>
        <v/>
      </c>
      <c r="B45" s="174" t="str">
        <f>IF('Sch2a-Imp Price by ECM'!D46="","",'Sch2a-Imp Price by ECM'!D46)</f>
        <v/>
      </c>
      <c r="C45" s="458" t="s">
        <v>431</v>
      </c>
      <c r="D45" s="454">
        <f>'Sch4-Cost Savings by ECM'!O45</f>
        <v>0</v>
      </c>
      <c r="E45" s="454">
        <f>VLOOKUP(C45,'eGRID subregion name'!$A$2:$N$30,8,0)</f>
        <v>189.83531623683197</v>
      </c>
      <c r="F45" s="454">
        <f t="shared" si="7"/>
        <v>0</v>
      </c>
      <c r="G45" s="455">
        <f>'Sch4-Cost Savings by ECM'!S45</f>
        <v>0</v>
      </c>
      <c r="H45" s="455">
        <f>VLOOKUP("Natural Gas", 'GHG Emissions'!$D$2:$M$66,4,FALSE)+VLOOKUP("Natural Gas", 'GHG Emissions'!$D$2:$M$66,6,FALSE)*'eGRID subregion name'!$P$3+VLOOKUP("Natural Gas", 'GHG Emissions'!$D$2:$M$66,8,FALSE)*'eGRID subregion name'!$P$4</f>
        <v>53.114800000000002</v>
      </c>
      <c r="I45" s="455">
        <f t="shared" si="3"/>
        <v>0</v>
      </c>
      <c r="J45" s="455">
        <f>'Sch4-Cost Savings by ECM'!U45</f>
        <v>0</v>
      </c>
      <c r="K4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5" s="455">
        <f t="shared" si="8"/>
        <v>0</v>
      </c>
      <c r="M45" s="455">
        <f>'Sch4-Cost Savings by ECM'!W45</f>
        <v>0</v>
      </c>
      <c r="N4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5" s="455">
        <f t="shared" si="4"/>
        <v>0</v>
      </c>
      <c r="P45" s="457">
        <f t="shared" si="1"/>
        <v>0</v>
      </c>
      <c r="Q45" s="455">
        <f>'Sch4-Cost Savings by ECM'!AA45</f>
        <v>0</v>
      </c>
      <c r="R45" s="455">
        <f t="shared" si="9"/>
        <v>0</v>
      </c>
      <c r="S45" s="455">
        <f t="shared" si="10"/>
        <v>0</v>
      </c>
      <c r="T45" s="455">
        <f t="shared" si="6"/>
        <v>0</v>
      </c>
    </row>
    <row r="46" spans="1:20" ht="17" thickBot="1">
      <c r="A46" s="75" t="str">
        <f>IF('Sch2a-Imp Price by ECM'!B47="","",'Sch2a-Imp Price by ECM'!B47)</f>
        <v/>
      </c>
      <c r="B46" s="174" t="str">
        <f>IF('Sch2a-Imp Price by ECM'!D47="","",'Sch2a-Imp Price by ECM'!D47)</f>
        <v/>
      </c>
      <c r="C46" s="458" t="s">
        <v>431</v>
      </c>
      <c r="D46" s="454">
        <f>'Sch4-Cost Savings by ECM'!O46</f>
        <v>0</v>
      </c>
      <c r="E46" s="454">
        <f>VLOOKUP(C46,'eGRID subregion name'!$A$2:$N$30,8,0)</f>
        <v>189.83531623683197</v>
      </c>
      <c r="F46" s="454">
        <f t="shared" si="7"/>
        <v>0</v>
      </c>
      <c r="G46" s="455">
        <f>'Sch4-Cost Savings by ECM'!S46</f>
        <v>0</v>
      </c>
      <c r="H46" s="455">
        <f>VLOOKUP("Natural Gas", 'GHG Emissions'!$D$2:$M$66,4,FALSE)+VLOOKUP("Natural Gas", 'GHG Emissions'!$D$2:$M$66,6,FALSE)*'eGRID subregion name'!$P$3+VLOOKUP("Natural Gas", 'GHG Emissions'!$D$2:$M$66,8,FALSE)*'eGRID subregion name'!$P$4</f>
        <v>53.114800000000002</v>
      </c>
      <c r="I46" s="455">
        <f t="shared" si="3"/>
        <v>0</v>
      </c>
      <c r="J46" s="455">
        <f>'Sch4-Cost Savings by ECM'!U46</f>
        <v>0</v>
      </c>
      <c r="K4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6" s="455">
        <f t="shared" si="8"/>
        <v>0</v>
      </c>
      <c r="M46" s="455">
        <f>'Sch4-Cost Savings by ECM'!W46</f>
        <v>0</v>
      </c>
      <c r="N4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6" s="455">
        <f t="shared" si="4"/>
        <v>0</v>
      </c>
      <c r="P46" s="457">
        <f t="shared" si="1"/>
        <v>0</v>
      </c>
      <c r="Q46" s="455">
        <f>'Sch4-Cost Savings by ECM'!AA46</f>
        <v>0</v>
      </c>
      <c r="R46" s="455">
        <f t="shared" si="9"/>
        <v>0</v>
      </c>
      <c r="S46" s="455">
        <f t="shared" si="10"/>
        <v>0</v>
      </c>
      <c r="T46" s="455">
        <f t="shared" si="6"/>
        <v>0</v>
      </c>
    </row>
    <row r="47" spans="1:20" ht="17" thickBot="1">
      <c r="A47" s="75" t="str">
        <f>IF('Sch2a-Imp Price by ECM'!B48="","",'Sch2a-Imp Price by ECM'!B48)</f>
        <v/>
      </c>
      <c r="B47" s="174" t="str">
        <f>IF('Sch2a-Imp Price by ECM'!D48="","",'Sch2a-Imp Price by ECM'!D48)</f>
        <v/>
      </c>
      <c r="C47" s="458" t="s">
        <v>431</v>
      </c>
      <c r="D47" s="454">
        <f>'Sch4-Cost Savings by ECM'!O47</f>
        <v>0</v>
      </c>
      <c r="E47" s="454">
        <f>VLOOKUP(C47,'eGRID subregion name'!$A$2:$N$30,8,0)</f>
        <v>189.83531623683197</v>
      </c>
      <c r="F47" s="454">
        <f t="shared" si="7"/>
        <v>0</v>
      </c>
      <c r="G47" s="455">
        <f>'Sch4-Cost Savings by ECM'!S47</f>
        <v>0</v>
      </c>
      <c r="H47" s="455">
        <f>VLOOKUP("Natural Gas", 'GHG Emissions'!$D$2:$M$66,4,FALSE)+VLOOKUP("Natural Gas", 'GHG Emissions'!$D$2:$M$66,6,FALSE)*'eGRID subregion name'!$P$3+VLOOKUP("Natural Gas", 'GHG Emissions'!$D$2:$M$66,8,FALSE)*'eGRID subregion name'!$P$4</f>
        <v>53.114800000000002</v>
      </c>
      <c r="I47" s="455">
        <f t="shared" si="3"/>
        <v>0</v>
      </c>
      <c r="J47" s="455">
        <f>'Sch4-Cost Savings by ECM'!U47</f>
        <v>0</v>
      </c>
      <c r="K4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7" s="455">
        <f t="shared" si="8"/>
        <v>0</v>
      </c>
      <c r="M47" s="455">
        <f>'Sch4-Cost Savings by ECM'!W47</f>
        <v>0</v>
      </c>
      <c r="N4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7" s="455">
        <f t="shared" si="4"/>
        <v>0</v>
      </c>
      <c r="P47" s="457">
        <f t="shared" si="1"/>
        <v>0</v>
      </c>
      <c r="Q47" s="455">
        <f>'Sch4-Cost Savings by ECM'!AA47</f>
        <v>0</v>
      </c>
      <c r="R47" s="455">
        <f t="shared" si="9"/>
        <v>0</v>
      </c>
      <c r="S47" s="455">
        <f t="shared" si="10"/>
        <v>0</v>
      </c>
      <c r="T47" s="455">
        <f t="shared" si="6"/>
        <v>0</v>
      </c>
    </row>
    <row r="48" spans="1:20" ht="17" thickBot="1">
      <c r="A48" s="75" t="str">
        <f>IF('Sch2a-Imp Price by ECM'!B49="","",'Sch2a-Imp Price by ECM'!B49)</f>
        <v/>
      </c>
      <c r="B48" s="174" t="str">
        <f>IF('Sch2a-Imp Price by ECM'!D49="","",'Sch2a-Imp Price by ECM'!D49)</f>
        <v/>
      </c>
      <c r="C48" s="458" t="s">
        <v>431</v>
      </c>
      <c r="D48" s="454">
        <f>'Sch4-Cost Savings by ECM'!O48</f>
        <v>0</v>
      </c>
      <c r="E48" s="454">
        <f>VLOOKUP(C48,'eGRID subregion name'!$A$2:$N$30,8,0)</f>
        <v>189.83531623683197</v>
      </c>
      <c r="F48" s="454">
        <f t="shared" si="7"/>
        <v>0</v>
      </c>
      <c r="G48" s="455">
        <f>'Sch4-Cost Savings by ECM'!S48</f>
        <v>0</v>
      </c>
      <c r="H48" s="455">
        <f>VLOOKUP("Natural Gas", 'GHG Emissions'!$D$2:$M$66,4,FALSE)+VLOOKUP("Natural Gas", 'GHG Emissions'!$D$2:$M$66,6,FALSE)*'eGRID subregion name'!$P$3+VLOOKUP("Natural Gas", 'GHG Emissions'!$D$2:$M$66,8,FALSE)*'eGRID subregion name'!$P$4</f>
        <v>53.114800000000002</v>
      </c>
      <c r="I48" s="455">
        <f t="shared" si="3"/>
        <v>0</v>
      </c>
      <c r="J48" s="455">
        <f>'Sch4-Cost Savings by ECM'!U48</f>
        <v>0</v>
      </c>
      <c r="K4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8" s="455">
        <f t="shared" si="8"/>
        <v>0</v>
      </c>
      <c r="M48" s="455">
        <f>'Sch4-Cost Savings by ECM'!W48</f>
        <v>0</v>
      </c>
      <c r="N4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8" s="455">
        <f t="shared" si="4"/>
        <v>0</v>
      </c>
      <c r="P48" s="457">
        <f t="shared" si="1"/>
        <v>0</v>
      </c>
      <c r="Q48" s="455">
        <f>'Sch4-Cost Savings by ECM'!AA48</f>
        <v>0</v>
      </c>
      <c r="R48" s="455">
        <f t="shared" si="9"/>
        <v>0</v>
      </c>
      <c r="S48" s="455">
        <f t="shared" si="10"/>
        <v>0</v>
      </c>
      <c r="T48" s="455">
        <f t="shared" si="6"/>
        <v>0</v>
      </c>
    </row>
    <row r="49" spans="1:20" ht="17" thickBot="1">
      <c r="A49" s="75" t="str">
        <f>IF('Sch2a-Imp Price by ECM'!B50="","",'Sch2a-Imp Price by ECM'!B50)</f>
        <v/>
      </c>
      <c r="B49" s="174" t="str">
        <f>IF('Sch2a-Imp Price by ECM'!D50="","",'Sch2a-Imp Price by ECM'!D50)</f>
        <v/>
      </c>
      <c r="C49" s="458" t="s">
        <v>431</v>
      </c>
      <c r="D49" s="454">
        <f>'Sch4-Cost Savings by ECM'!O49</f>
        <v>0</v>
      </c>
      <c r="E49" s="454">
        <f>VLOOKUP(C49,'eGRID subregion name'!$A$2:$N$30,8,0)</f>
        <v>189.83531623683197</v>
      </c>
      <c r="F49" s="454">
        <f t="shared" si="7"/>
        <v>0</v>
      </c>
      <c r="G49" s="455">
        <f>'Sch4-Cost Savings by ECM'!S49</f>
        <v>0</v>
      </c>
      <c r="H49" s="455">
        <f>VLOOKUP("Natural Gas", 'GHG Emissions'!$D$2:$M$66,4,FALSE)+VLOOKUP("Natural Gas", 'GHG Emissions'!$D$2:$M$66,6,FALSE)*'eGRID subregion name'!$P$3+VLOOKUP("Natural Gas", 'GHG Emissions'!$D$2:$M$66,8,FALSE)*'eGRID subregion name'!$P$4</f>
        <v>53.114800000000002</v>
      </c>
      <c r="I49" s="455">
        <f t="shared" si="3"/>
        <v>0</v>
      </c>
      <c r="J49" s="455">
        <f>'Sch4-Cost Savings by ECM'!U49</f>
        <v>0</v>
      </c>
      <c r="K4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49" s="455">
        <f t="shared" si="8"/>
        <v>0</v>
      </c>
      <c r="M49" s="455">
        <f>'Sch4-Cost Savings by ECM'!W49</f>
        <v>0</v>
      </c>
      <c r="N4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49" s="455">
        <f t="shared" si="4"/>
        <v>0</v>
      </c>
      <c r="P49" s="457">
        <f t="shared" si="1"/>
        <v>0</v>
      </c>
      <c r="Q49" s="455">
        <f>'Sch4-Cost Savings by ECM'!AA49</f>
        <v>0</v>
      </c>
      <c r="R49" s="455">
        <f t="shared" si="9"/>
        <v>0</v>
      </c>
      <c r="S49" s="455">
        <f t="shared" si="10"/>
        <v>0</v>
      </c>
      <c r="T49" s="455">
        <f t="shared" si="6"/>
        <v>0</v>
      </c>
    </row>
    <row r="50" spans="1:20" ht="17" thickBot="1">
      <c r="A50" s="75" t="str">
        <f>IF('Sch2a-Imp Price by ECM'!B51="","",'Sch2a-Imp Price by ECM'!B51)</f>
        <v/>
      </c>
      <c r="B50" s="174" t="str">
        <f>IF('Sch2a-Imp Price by ECM'!D51="","",'Sch2a-Imp Price by ECM'!D51)</f>
        <v/>
      </c>
      <c r="C50" s="458" t="s">
        <v>431</v>
      </c>
      <c r="D50" s="454">
        <f>'Sch4-Cost Savings by ECM'!O50</f>
        <v>0</v>
      </c>
      <c r="E50" s="454">
        <f>VLOOKUP(C50,'eGRID subregion name'!$A$2:$N$30,8,0)</f>
        <v>189.83531623683197</v>
      </c>
      <c r="F50" s="454">
        <f t="shared" si="7"/>
        <v>0</v>
      </c>
      <c r="G50" s="455">
        <f>'Sch4-Cost Savings by ECM'!S50</f>
        <v>0</v>
      </c>
      <c r="H50" s="455">
        <f>VLOOKUP("Natural Gas", 'GHG Emissions'!$D$2:$M$66,4,FALSE)+VLOOKUP("Natural Gas", 'GHG Emissions'!$D$2:$M$66,6,FALSE)*'eGRID subregion name'!$P$3+VLOOKUP("Natural Gas", 'GHG Emissions'!$D$2:$M$66,8,FALSE)*'eGRID subregion name'!$P$4</f>
        <v>53.114800000000002</v>
      </c>
      <c r="I50" s="455">
        <f t="shared" si="3"/>
        <v>0</v>
      </c>
      <c r="J50" s="455">
        <f>'Sch4-Cost Savings by ECM'!U50</f>
        <v>0</v>
      </c>
      <c r="K5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0" s="455">
        <f t="shared" si="8"/>
        <v>0</v>
      </c>
      <c r="M50" s="455">
        <f>'Sch4-Cost Savings by ECM'!W50</f>
        <v>0</v>
      </c>
      <c r="N5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0" s="455">
        <f t="shared" si="4"/>
        <v>0</v>
      </c>
      <c r="P50" s="457">
        <f t="shared" si="1"/>
        <v>0</v>
      </c>
      <c r="Q50" s="455">
        <f>'Sch4-Cost Savings by ECM'!AA50</f>
        <v>0</v>
      </c>
      <c r="R50" s="455">
        <f t="shared" si="9"/>
        <v>0</v>
      </c>
      <c r="S50" s="455">
        <f t="shared" si="10"/>
        <v>0</v>
      </c>
      <c r="T50" s="455">
        <f t="shared" si="6"/>
        <v>0</v>
      </c>
    </row>
    <row r="51" spans="1:20" ht="17" thickBot="1">
      <c r="A51" s="75" t="str">
        <f>IF('Sch2a-Imp Price by ECM'!B52="","",'Sch2a-Imp Price by ECM'!B52)</f>
        <v/>
      </c>
      <c r="B51" s="174" t="str">
        <f>IF('Sch2a-Imp Price by ECM'!D52="","",'Sch2a-Imp Price by ECM'!D52)</f>
        <v/>
      </c>
      <c r="C51" s="458" t="s">
        <v>431</v>
      </c>
      <c r="D51" s="454">
        <f>'Sch4-Cost Savings by ECM'!O51</f>
        <v>0</v>
      </c>
      <c r="E51" s="454">
        <f>VLOOKUP(C51,'eGRID subregion name'!$A$2:$N$30,8,0)</f>
        <v>189.83531623683197</v>
      </c>
      <c r="F51" s="454">
        <f t="shared" si="7"/>
        <v>0</v>
      </c>
      <c r="G51" s="455">
        <f>'Sch4-Cost Savings by ECM'!S51</f>
        <v>0</v>
      </c>
      <c r="H51" s="455">
        <f>VLOOKUP("Natural Gas", 'GHG Emissions'!$D$2:$M$66,4,FALSE)+VLOOKUP("Natural Gas", 'GHG Emissions'!$D$2:$M$66,6,FALSE)*'eGRID subregion name'!$P$3+VLOOKUP("Natural Gas", 'GHG Emissions'!$D$2:$M$66,8,FALSE)*'eGRID subregion name'!$P$4</f>
        <v>53.114800000000002</v>
      </c>
      <c r="I51" s="455">
        <f t="shared" si="3"/>
        <v>0</v>
      </c>
      <c r="J51" s="455">
        <f>'Sch4-Cost Savings by ECM'!U51</f>
        <v>0</v>
      </c>
      <c r="K5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1" s="455">
        <f t="shared" si="8"/>
        <v>0</v>
      </c>
      <c r="M51" s="455">
        <f>'Sch4-Cost Savings by ECM'!W51</f>
        <v>0</v>
      </c>
      <c r="N5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1" s="455">
        <f t="shared" si="4"/>
        <v>0</v>
      </c>
      <c r="P51" s="457">
        <f t="shared" si="1"/>
        <v>0</v>
      </c>
      <c r="Q51" s="455">
        <f>'Sch4-Cost Savings by ECM'!AA51</f>
        <v>0</v>
      </c>
      <c r="R51" s="455">
        <f t="shared" si="9"/>
        <v>0</v>
      </c>
      <c r="S51" s="455">
        <f t="shared" si="10"/>
        <v>0</v>
      </c>
      <c r="T51" s="455">
        <f t="shared" si="6"/>
        <v>0</v>
      </c>
    </row>
    <row r="52" spans="1:20" ht="17" thickBot="1">
      <c r="A52" s="75" t="str">
        <f>IF('Sch2a-Imp Price by ECM'!B53="","",'Sch2a-Imp Price by ECM'!B53)</f>
        <v/>
      </c>
      <c r="B52" s="174" t="str">
        <f>IF('Sch2a-Imp Price by ECM'!D53="","",'Sch2a-Imp Price by ECM'!D53)</f>
        <v/>
      </c>
      <c r="C52" s="458" t="s">
        <v>431</v>
      </c>
      <c r="D52" s="454">
        <f>'Sch4-Cost Savings by ECM'!O52</f>
        <v>0</v>
      </c>
      <c r="E52" s="454">
        <f>VLOOKUP(C52,'eGRID subregion name'!$A$2:$N$30,8,0)</f>
        <v>189.83531623683197</v>
      </c>
      <c r="F52" s="454">
        <f t="shared" si="7"/>
        <v>0</v>
      </c>
      <c r="G52" s="455">
        <f>'Sch4-Cost Savings by ECM'!S52</f>
        <v>0</v>
      </c>
      <c r="H52" s="455">
        <f>VLOOKUP("Natural Gas", 'GHG Emissions'!$D$2:$M$66,4,FALSE)+VLOOKUP("Natural Gas", 'GHG Emissions'!$D$2:$M$66,6,FALSE)*'eGRID subregion name'!$P$3+VLOOKUP("Natural Gas", 'GHG Emissions'!$D$2:$M$66,8,FALSE)*'eGRID subregion name'!$P$4</f>
        <v>53.114800000000002</v>
      </c>
      <c r="I52" s="455">
        <f t="shared" si="3"/>
        <v>0</v>
      </c>
      <c r="J52" s="455">
        <f>'Sch4-Cost Savings by ECM'!U52</f>
        <v>0</v>
      </c>
      <c r="K5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2" s="455">
        <f t="shared" si="8"/>
        <v>0</v>
      </c>
      <c r="M52" s="455">
        <f>'Sch4-Cost Savings by ECM'!W52</f>
        <v>0</v>
      </c>
      <c r="N5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2" s="455">
        <f t="shared" si="4"/>
        <v>0</v>
      </c>
      <c r="P52" s="457">
        <f t="shared" si="1"/>
        <v>0</v>
      </c>
      <c r="Q52" s="455">
        <f>'Sch4-Cost Savings by ECM'!AA52</f>
        <v>0</v>
      </c>
      <c r="R52" s="455">
        <f t="shared" si="9"/>
        <v>0</v>
      </c>
      <c r="S52" s="455">
        <f t="shared" si="10"/>
        <v>0</v>
      </c>
      <c r="T52" s="455">
        <f t="shared" si="6"/>
        <v>0</v>
      </c>
    </row>
    <row r="53" spans="1:20" ht="17" thickBot="1">
      <c r="A53" s="75" t="str">
        <f>IF('Sch2a-Imp Price by ECM'!B54="","",'Sch2a-Imp Price by ECM'!B54)</f>
        <v/>
      </c>
      <c r="B53" s="174" t="str">
        <f>IF('Sch2a-Imp Price by ECM'!D54="","",'Sch2a-Imp Price by ECM'!D54)</f>
        <v/>
      </c>
      <c r="C53" s="458" t="s">
        <v>431</v>
      </c>
      <c r="D53" s="454">
        <f>'Sch4-Cost Savings by ECM'!O53</f>
        <v>0</v>
      </c>
      <c r="E53" s="454">
        <f>VLOOKUP(C53,'eGRID subregion name'!$A$2:$N$30,8,0)</f>
        <v>189.83531623683197</v>
      </c>
      <c r="F53" s="454">
        <f t="shared" si="7"/>
        <v>0</v>
      </c>
      <c r="G53" s="455">
        <f>'Sch4-Cost Savings by ECM'!S53</f>
        <v>0</v>
      </c>
      <c r="H53" s="455">
        <f>VLOOKUP("Natural Gas", 'GHG Emissions'!$D$2:$M$66,4,FALSE)+VLOOKUP("Natural Gas", 'GHG Emissions'!$D$2:$M$66,6,FALSE)*'eGRID subregion name'!$P$3+VLOOKUP("Natural Gas", 'GHG Emissions'!$D$2:$M$66,8,FALSE)*'eGRID subregion name'!$P$4</f>
        <v>53.114800000000002</v>
      </c>
      <c r="I53" s="455">
        <f t="shared" si="3"/>
        <v>0</v>
      </c>
      <c r="J53" s="455">
        <f>'Sch4-Cost Savings by ECM'!U53</f>
        <v>0</v>
      </c>
      <c r="K5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3" s="455">
        <f t="shared" si="8"/>
        <v>0</v>
      </c>
      <c r="M53" s="455">
        <f>'Sch4-Cost Savings by ECM'!W53</f>
        <v>0</v>
      </c>
      <c r="N5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3" s="455">
        <f t="shared" si="4"/>
        <v>0</v>
      </c>
      <c r="P53" s="457">
        <f t="shared" si="1"/>
        <v>0</v>
      </c>
      <c r="Q53" s="455">
        <f>'Sch4-Cost Savings by ECM'!AA53</f>
        <v>0</v>
      </c>
      <c r="R53" s="455">
        <f t="shared" si="9"/>
        <v>0</v>
      </c>
      <c r="S53" s="455">
        <f t="shared" si="10"/>
        <v>0</v>
      </c>
      <c r="T53" s="455">
        <f t="shared" si="6"/>
        <v>0</v>
      </c>
    </row>
    <row r="54" spans="1:20" ht="17" thickBot="1">
      <c r="A54" s="75" t="str">
        <f>IF('Sch2a-Imp Price by ECM'!B55="","",'Sch2a-Imp Price by ECM'!B55)</f>
        <v/>
      </c>
      <c r="B54" s="174" t="str">
        <f>IF('Sch2a-Imp Price by ECM'!D55="","",'Sch2a-Imp Price by ECM'!D55)</f>
        <v/>
      </c>
      <c r="C54" s="458" t="s">
        <v>431</v>
      </c>
      <c r="D54" s="454">
        <f>'Sch4-Cost Savings by ECM'!O54</f>
        <v>0</v>
      </c>
      <c r="E54" s="454">
        <f>VLOOKUP(C54,'eGRID subregion name'!$A$2:$N$30,8,0)</f>
        <v>189.83531623683197</v>
      </c>
      <c r="F54" s="454">
        <f t="shared" si="7"/>
        <v>0</v>
      </c>
      <c r="G54" s="455">
        <f>'Sch4-Cost Savings by ECM'!S54</f>
        <v>0</v>
      </c>
      <c r="H54" s="455">
        <f>VLOOKUP("Natural Gas", 'GHG Emissions'!$D$2:$M$66,4,FALSE)+VLOOKUP("Natural Gas", 'GHG Emissions'!$D$2:$M$66,6,FALSE)*'eGRID subregion name'!$P$3+VLOOKUP("Natural Gas", 'GHG Emissions'!$D$2:$M$66,8,FALSE)*'eGRID subregion name'!$P$4</f>
        <v>53.114800000000002</v>
      </c>
      <c r="I54" s="455">
        <f t="shared" si="3"/>
        <v>0</v>
      </c>
      <c r="J54" s="455">
        <f>'Sch4-Cost Savings by ECM'!U54</f>
        <v>0</v>
      </c>
      <c r="K5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4" s="455">
        <f t="shared" si="8"/>
        <v>0</v>
      </c>
      <c r="M54" s="455">
        <f>'Sch4-Cost Savings by ECM'!W54</f>
        <v>0</v>
      </c>
      <c r="N5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4" s="455">
        <f t="shared" si="4"/>
        <v>0</v>
      </c>
      <c r="P54" s="457">
        <f t="shared" si="1"/>
        <v>0</v>
      </c>
      <c r="Q54" s="455">
        <f>'Sch4-Cost Savings by ECM'!AA54</f>
        <v>0</v>
      </c>
      <c r="R54" s="455">
        <f t="shared" si="9"/>
        <v>0</v>
      </c>
      <c r="S54" s="455">
        <f t="shared" si="10"/>
        <v>0</v>
      </c>
      <c r="T54" s="455">
        <f t="shared" si="6"/>
        <v>0</v>
      </c>
    </row>
    <row r="55" spans="1:20" ht="18" customHeight="1" thickBot="1">
      <c r="A55" s="75" t="str">
        <f>IF('Sch2a-Imp Price by ECM'!B56="","",'Sch2a-Imp Price by ECM'!B56)</f>
        <v/>
      </c>
      <c r="B55" s="174" t="str">
        <f>IF('Sch2a-Imp Price by ECM'!D56="","",'Sch2a-Imp Price by ECM'!D56)</f>
        <v/>
      </c>
      <c r="C55" s="458" t="s">
        <v>431</v>
      </c>
      <c r="D55" s="454">
        <f>'Sch4-Cost Savings by ECM'!O55</f>
        <v>0</v>
      </c>
      <c r="E55" s="454">
        <f>VLOOKUP(C55,'eGRID subregion name'!$A$2:$N$30,8,0)</f>
        <v>189.83531623683197</v>
      </c>
      <c r="F55" s="454">
        <f t="shared" si="7"/>
        <v>0</v>
      </c>
      <c r="G55" s="455">
        <f>'Sch4-Cost Savings by ECM'!S55</f>
        <v>0</v>
      </c>
      <c r="H55" s="455">
        <f>VLOOKUP("Natural Gas", 'GHG Emissions'!$D$2:$M$66,4,FALSE)+VLOOKUP("Natural Gas", 'GHG Emissions'!$D$2:$M$66,6,FALSE)*'eGRID subregion name'!$P$3+VLOOKUP("Natural Gas", 'GHG Emissions'!$D$2:$M$66,8,FALSE)*'eGRID subregion name'!$P$4</f>
        <v>53.114800000000002</v>
      </c>
      <c r="I55" s="455">
        <f t="shared" si="3"/>
        <v>0</v>
      </c>
      <c r="J55" s="455">
        <f>'Sch4-Cost Savings by ECM'!U55</f>
        <v>0</v>
      </c>
      <c r="K5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5" s="455">
        <f t="shared" si="8"/>
        <v>0</v>
      </c>
      <c r="M55" s="455">
        <f>'Sch4-Cost Savings by ECM'!W55</f>
        <v>0</v>
      </c>
      <c r="N5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5" s="455">
        <f t="shared" si="4"/>
        <v>0</v>
      </c>
      <c r="P55" s="457">
        <f t="shared" si="1"/>
        <v>0</v>
      </c>
      <c r="Q55" s="455">
        <f>'Sch4-Cost Savings by ECM'!AA55</f>
        <v>0</v>
      </c>
      <c r="R55" s="455">
        <f t="shared" si="9"/>
        <v>0</v>
      </c>
      <c r="S55" s="455">
        <f t="shared" si="10"/>
        <v>0</v>
      </c>
      <c r="T55" s="455">
        <f t="shared" si="6"/>
        <v>0</v>
      </c>
    </row>
    <row r="56" spans="1:20" ht="17" thickBot="1">
      <c r="A56" s="75" t="str">
        <f>IF('Sch2a-Imp Price by ECM'!B57="","",'Sch2a-Imp Price by ECM'!B57)</f>
        <v/>
      </c>
      <c r="B56" s="174" t="str">
        <f>IF('Sch2a-Imp Price by ECM'!D57="","",'Sch2a-Imp Price by ECM'!D57)</f>
        <v/>
      </c>
      <c r="C56" s="458" t="s">
        <v>431</v>
      </c>
      <c r="D56" s="454">
        <f>'Sch4-Cost Savings by ECM'!O56</f>
        <v>0</v>
      </c>
      <c r="E56" s="454">
        <f>VLOOKUP(C56,'eGRID subregion name'!$A$2:$N$30,8,0)</f>
        <v>189.83531623683197</v>
      </c>
      <c r="F56" s="454">
        <f t="shared" si="7"/>
        <v>0</v>
      </c>
      <c r="G56" s="455">
        <f>'Sch4-Cost Savings by ECM'!S56</f>
        <v>0</v>
      </c>
      <c r="H56" s="455">
        <f>VLOOKUP("Natural Gas", 'GHG Emissions'!$D$2:$M$66,4,FALSE)+VLOOKUP("Natural Gas", 'GHG Emissions'!$D$2:$M$66,6,FALSE)*'eGRID subregion name'!$P$3+VLOOKUP("Natural Gas", 'GHG Emissions'!$D$2:$M$66,8,FALSE)*'eGRID subregion name'!$P$4</f>
        <v>53.114800000000002</v>
      </c>
      <c r="I56" s="455">
        <f t="shared" si="3"/>
        <v>0</v>
      </c>
      <c r="J56" s="455">
        <f>'Sch4-Cost Savings by ECM'!U56</f>
        <v>0</v>
      </c>
      <c r="K5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6" s="455">
        <f t="shared" si="8"/>
        <v>0</v>
      </c>
      <c r="M56" s="455">
        <f>'Sch4-Cost Savings by ECM'!W56</f>
        <v>0</v>
      </c>
      <c r="N5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6" s="455">
        <f t="shared" si="4"/>
        <v>0</v>
      </c>
      <c r="P56" s="457">
        <f t="shared" si="1"/>
        <v>0</v>
      </c>
      <c r="Q56" s="455">
        <f>'Sch4-Cost Savings by ECM'!AA56</f>
        <v>0</v>
      </c>
      <c r="R56" s="455">
        <f t="shared" si="9"/>
        <v>0</v>
      </c>
      <c r="S56" s="455">
        <f t="shared" si="10"/>
        <v>0</v>
      </c>
      <c r="T56" s="455">
        <f t="shared" si="6"/>
        <v>0</v>
      </c>
    </row>
    <row r="57" spans="1:20" ht="17" thickBot="1">
      <c r="A57" s="75" t="str">
        <f>IF('Sch2a-Imp Price by ECM'!B58="","",'Sch2a-Imp Price by ECM'!B58)</f>
        <v/>
      </c>
      <c r="B57" s="174" t="str">
        <f>IF('Sch2a-Imp Price by ECM'!D58="","",'Sch2a-Imp Price by ECM'!D58)</f>
        <v/>
      </c>
      <c r="C57" s="458" t="s">
        <v>431</v>
      </c>
      <c r="D57" s="454">
        <f>'Sch4-Cost Savings by ECM'!O57</f>
        <v>0</v>
      </c>
      <c r="E57" s="454">
        <f>VLOOKUP(C57,'eGRID subregion name'!$A$2:$N$30,8,0)</f>
        <v>189.83531623683197</v>
      </c>
      <c r="F57" s="454">
        <f t="shared" si="7"/>
        <v>0</v>
      </c>
      <c r="G57" s="455">
        <f>'Sch4-Cost Savings by ECM'!S57</f>
        <v>0</v>
      </c>
      <c r="H57" s="455">
        <f>VLOOKUP("Natural Gas", 'GHG Emissions'!$D$2:$M$66,4,FALSE)+VLOOKUP("Natural Gas", 'GHG Emissions'!$D$2:$M$66,6,FALSE)*'eGRID subregion name'!$P$3+VLOOKUP("Natural Gas", 'GHG Emissions'!$D$2:$M$66,8,FALSE)*'eGRID subregion name'!$P$4</f>
        <v>53.114800000000002</v>
      </c>
      <c r="I57" s="455">
        <f t="shared" si="3"/>
        <v>0</v>
      </c>
      <c r="J57" s="455">
        <f>'Sch4-Cost Savings by ECM'!U57</f>
        <v>0</v>
      </c>
      <c r="K5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7" s="455">
        <f t="shared" si="8"/>
        <v>0</v>
      </c>
      <c r="M57" s="455">
        <f>'Sch4-Cost Savings by ECM'!W57</f>
        <v>0</v>
      </c>
      <c r="N5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7" s="455">
        <f t="shared" si="4"/>
        <v>0</v>
      </c>
      <c r="P57" s="457">
        <f t="shared" si="1"/>
        <v>0</v>
      </c>
      <c r="Q57" s="455">
        <f>'Sch4-Cost Savings by ECM'!AA57</f>
        <v>0</v>
      </c>
      <c r="R57" s="455">
        <f t="shared" si="9"/>
        <v>0</v>
      </c>
      <c r="S57" s="455">
        <f t="shared" si="10"/>
        <v>0</v>
      </c>
      <c r="T57" s="455">
        <f t="shared" si="6"/>
        <v>0</v>
      </c>
    </row>
    <row r="58" spans="1:20" ht="17" thickBot="1">
      <c r="A58" s="75" t="str">
        <f>IF('Sch2a-Imp Price by ECM'!B59="","",'Sch2a-Imp Price by ECM'!B59)</f>
        <v/>
      </c>
      <c r="B58" s="174" t="str">
        <f>IF('Sch2a-Imp Price by ECM'!D59="","",'Sch2a-Imp Price by ECM'!D59)</f>
        <v/>
      </c>
      <c r="C58" s="458" t="s">
        <v>431</v>
      </c>
      <c r="D58" s="454">
        <f>'Sch4-Cost Savings by ECM'!O58</f>
        <v>0</v>
      </c>
      <c r="E58" s="454">
        <f>VLOOKUP(C58,'eGRID subregion name'!$A$2:$N$30,8,0)</f>
        <v>189.83531623683197</v>
      </c>
      <c r="F58" s="454">
        <f t="shared" si="7"/>
        <v>0</v>
      </c>
      <c r="G58" s="455">
        <f>'Sch4-Cost Savings by ECM'!S58</f>
        <v>0</v>
      </c>
      <c r="H58" s="455">
        <f>VLOOKUP("Natural Gas", 'GHG Emissions'!$D$2:$M$66,4,FALSE)+VLOOKUP("Natural Gas", 'GHG Emissions'!$D$2:$M$66,6,FALSE)*'eGRID subregion name'!$P$3+VLOOKUP("Natural Gas", 'GHG Emissions'!$D$2:$M$66,8,FALSE)*'eGRID subregion name'!$P$4</f>
        <v>53.114800000000002</v>
      </c>
      <c r="I58" s="455">
        <f t="shared" si="3"/>
        <v>0</v>
      </c>
      <c r="J58" s="455">
        <f>'Sch4-Cost Savings by ECM'!U58</f>
        <v>0</v>
      </c>
      <c r="K5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8" s="455">
        <f t="shared" si="8"/>
        <v>0</v>
      </c>
      <c r="M58" s="455">
        <f>'Sch4-Cost Savings by ECM'!W58</f>
        <v>0</v>
      </c>
      <c r="N5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8" s="455">
        <f t="shared" si="4"/>
        <v>0</v>
      </c>
      <c r="P58" s="457">
        <f t="shared" si="1"/>
        <v>0</v>
      </c>
      <c r="Q58" s="455">
        <f>'Sch4-Cost Savings by ECM'!AA58</f>
        <v>0</v>
      </c>
      <c r="R58" s="455">
        <f t="shared" si="9"/>
        <v>0</v>
      </c>
      <c r="S58" s="455">
        <f t="shared" si="10"/>
        <v>0</v>
      </c>
      <c r="T58" s="455">
        <f t="shared" si="6"/>
        <v>0</v>
      </c>
    </row>
    <row r="59" spans="1:20" ht="17" thickBot="1">
      <c r="A59" s="75" t="str">
        <f>IF('Sch2a-Imp Price by ECM'!B60="","",'Sch2a-Imp Price by ECM'!B60)</f>
        <v/>
      </c>
      <c r="B59" s="174" t="str">
        <f>IF('Sch2a-Imp Price by ECM'!D60="","",'Sch2a-Imp Price by ECM'!D60)</f>
        <v/>
      </c>
      <c r="C59" s="458" t="s">
        <v>431</v>
      </c>
      <c r="D59" s="454">
        <f>'Sch4-Cost Savings by ECM'!O59</f>
        <v>0</v>
      </c>
      <c r="E59" s="454">
        <f>VLOOKUP(C59,'eGRID subregion name'!$A$2:$N$30,8,0)</f>
        <v>189.83531623683197</v>
      </c>
      <c r="F59" s="454">
        <f t="shared" si="7"/>
        <v>0</v>
      </c>
      <c r="G59" s="455">
        <f>'Sch4-Cost Savings by ECM'!S59</f>
        <v>0</v>
      </c>
      <c r="H59" s="455">
        <f>VLOOKUP("Natural Gas", 'GHG Emissions'!$D$2:$M$66,4,FALSE)+VLOOKUP("Natural Gas", 'GHG Emissions'!$D$2:$M$66,6,FALSE)*'eGRID subregion name'!$P$3+VLOOKUP("Natural Gas", 'GHG Emissions'!$D$2:$M$66,8,FALSE)*'eGRID subregion name'!$P$4</f>
        <v>53.114800000000002</v>
      </c>
      <c r="I59" s="455">
        <f t="shared" si="3"/>
        <v>0</v>
      </c>
      <c r="J59" s="455">
        <f>'Sch4-Cost Savings by ECM'!U59</f>
        <v>0</v>
      </c>
      <c r="K5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59" s="455">
        <f t="shared" si="8"/>
        <v>0</v>
      </c>
      <c r="M59" s="455">
        <f>'Sch4-Cost Savings by ECM'!W59</f>
        <v>0</v>
      </c>
      <c r="N5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59" s="455">
        <f t="shared" si="4"/>
        <v>0</v>
      </c>
      <c r="P59" s="457">
        <f t="shared" si="1"/>
        <v>0</v>
      </c>
      <c r="Q59" s="455">
        <f>'Sch4-Cost Savings by ECM'!AA59</f>
        <v>0</v>
      </c>
      <c r="R59" s="455">
        <f t="shared" si="9"/>
        <v>0</v>
      </c>
      <c r="S59" s="455">
        <f t="shared" si="10"/>
        <v>0</v>
      </c>
      <c r="T59" s="455">
        <f t="shared" si="6"/>
        <v>0</v>
      </c>
    </row>
    <row r="60" spans="1:20" ht="17" thickBot="1">
      <c r="A60" s="75" t="str">
        <f>IF('Sch2a-Imp Price by ECM'!B61="","",'Sch2a-Imp Price by ECM'!B61)</f>
        <v/>
      </c>
      <c r="B60" s="174" t="str">
        <f>IF('Sch2a-Imp Price by ECM'!D61="","",'Sch2a-Imp Price by ECM'!D61)</f>
        <v/>
      </c>
      <c r="C60" s="458" t="s">
        <v>431</v>
      </c>
      <c r="D60" s="454">
        <f>'Sch4-Cost Savings by ECM'!O60</f>
        <v>0</v>
      </c>
      <c r="E60" s="454">
        <f>VLOOKUP(C60,'eGRID subregion name'!$A$2:$N$30,8,0)</f>
        <v>189.83531623683197</v>
      </c>
      <c r="F60" s="454">
        <f t="shared" si="7"/>
        <v>0</v>
      </c>
      <c r="G60" s="455">
        <f>'Sch4-Cost Savings by ECM'!S60</f>
        <v>0</v>
      </c>
      <c r="H60" s="455">
        <f>VLOOKUP("Natural Gas", 'GHG Emissions'!$D$2:$M$66,4,FALSE)+VLOOKUP("Natural Gas", 'GHG Emissions'!$D$2:$M$66,6,FALSE)*'eGRID subregion name'!$P$3+VLOOKUP("Natural Gas", 'GHG Emissions'!$D$2:$M$66,8,FALSE)*'eGRID subregion name'!$P$4</f>
        <v>53.114800000000002</v>
      </c>
      <c r="I60" s="455">
        <f t="shared" si="3"/>
        <v>0</v>
      </c>
      <c r="J60" s="455">
        <f>'Sch4-Cost Savings by ECM'!U60</f>
        <v>0</v>
      </c>
      <c r="K6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0" s="455">
        <f t="shared" si="8"/>
        <v>0</v>
      </c>
      <c r="M60" s="455">
        <f>'Sch4-Cost Savings by ECM'!W60</f>
        <v>0</v>
      </c>
      <c r="N6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0" s="455">
        <f t="shared" si="4"/>
        <v>0</v>
      </c>
      <c r="P60" s="457">
        <f t="shared" si="1"/>
        <v>0</v>
      </c>
      <c r="Q60" s="455">
        <f>'Sch4-Cost Savings by ECM'!AA60</f>
        <v>0</v>
      </c>
      <c r="R60" s="455">
        <f t="shared" si="9"/>
        <v>0</v>
      </c>
      <c r="S60" s="455">
        <f t="shared" si="10"/>
        <v>0</v>
      </c>
      <c r="T60" s="455">
        <f t="shared" si="6"/>
        <v>0</v>
      </c>
    </row>
    <row r="61" spans="1:20" ht="17" thickBot="1">
      <c r="A61" s="75" t="str">
        <f>IF('Sch2a-Imp Price by ECM'!B62="","",'Sch2a-Imp Price by ECM'!B62)</f>
        <v/>
      </c>
      <c r="B61" s="174" t="str">
        <f>IF('Sch2a-Imp Price by ECM'!D62="","",'Sch2a-Imp Price by ECM'!D62)</f>
        <v/>
      </c>
      <c r="C61" s="458" t="s">
        <v>431</v>
      </c>
      <c r="D61" s="454">
        <f>'Sch4-Cost Savings by ECM'!O61</f>
        <v>0</v>
      </c>
      <c r="E61" s="454">
        <f>VLOOKUP(C61,'eGRID subregion name'!$A$2:$N$30,8,0)</f>
        <v>189.83531623683197</v>
      </c>
      <c r="F61" s="454">
        <f t="shared" si="7"/>
        <v>0</v>
      </c>
      <c r="G61" s="455">
        <f>'Sch4-Cost Savings by ECM'!S61</f>
        <v>0</v>
      </c>
      <c r="H61" s="455">
        <f>VLOOKUP("Natural Gas", 'GHG Emissions'!$D$2:$M$66,4,FALSE)+VLOOKUP("Natural Gas", 'GHG Emissions'!$D$2:$M$66,6,FALSE)*'eGRID subregion name'!$P$3+VLOOKUP("Natural Gas", 'GHG Emissions'!$D$2:$M$66,8,FALSE)*'eGRID subregion name'!$P$4</f>
        <v>53.114800000000002</v>
      </c>
      <c r="I61" s="455">
        <f t="shared" si="3"/>
        <v>0</v>
      </c>
      <c r="J61" s="455">
        <f>'Sch4-Cost Savings by ECM'!U61</f>
        <v>0</v>
      </c>
      <c r="K6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1" s="455">
        <f t="shared" si="8"/>
        <v>0</v>
      </c>
      <c r="M61" s="455">
        <f>'Sch4-Cost Savings by ECM'!W61</f>
        <v>0</v>
      </c>
      <c r="N6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1" s="455">
        <f t="shared" si="4"/>
        <v>0</v>
      </c>
      <c r="P61" s="457">
        <f t="shared" si="1"/>
        <v>0</v>
      </c>
      <c r="Q61" s="455">
        <f>'Sch4-Cost Savings by ECM'!AA61</f>
        <v>0</v>
      </c>
      <c r="R61" s="455">
        <f t="shared" si="9"/>
        <v>0</v>
      </c>
      <c r="S61" s="455">
        <f t="shared" si="10"/>
        <v>0</v>
      </c>
      <c r="T61" s="455">
        <f t="shared" si="6"/>
        <v>0</v>
      </c>
    </row>
    <row r="62" spans="1:20" ht="17" thickBot="1">
      <c r="A62" s="75" t="str">
        <f>IF('Sch2a-Imp Price by ECM'!B63="","",'Sch2a-Imp Price by ECM'!B63)</f>
        <v/>
      </c>
      <c r="B62" s="174" t="str">
        <f>IF('Sch2a-Imp Price by ECM'!D63="","",'Sch2a-Imp Price by ECM'!D63)</f>
        <v/>
      </c>
      <c r="C62" s="458" t="s">
        <v>431</v>
      </c>
      <c r="D62" s="454">
        <f>'Sch4-Cost Savings by ECM'!O62</f>
        <v>0</v>
      </c>
      <c r="E62" s="454">
        <f>VLOOKUP(C62,'eGRID subregion name'!$A$2:$N$30,8,0)</f>
        <v>189.83531623683197</v>
      </c>
      <c r="F62" s="454">
        <f t="shared" si="7"/>
        <v>0</v>
      </c>
      <c r="G62" s="455">
        <f>'Sch4-Cost Savings by ECM'!S62</f>
        <v>0</v>
      </c>
      <c r="H62" s="455">
        <f>VLOOKUP("Natural Gas", 'GHG Emissions'!$D$2:$M$66,4,FALSE)+VLOOKUP("Natural Gas", 'GHG Emissions'!$D$2:$M$66,6,FALSE)*'eGRID subregion name'!$P$3+VLOOKUP("Natural Gas", 'GHG Emissions'!$D$2:$M$66,8,FALSE)*'eGRID subregion name'!$P$4</f>
        <v>53.114800000000002</v>
      </c>
      <c r="I62" s="455">
        <f t="shared" si="3"/>
        <v>0</v>
      </c>
      <c r="J62" s="455">
        <f>'Sch4-Cost Savings by ECM'!U62</f>
        <v>0</v>
      </c>
      <c r="K6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2" s="455">
        <f t="shared" si="8"/>
        <v>0</v>
      </c>
      <c r="M62" s="455">
        <f>'Sch4-Cost Savings by ECM'!W62</f>
        <v>0</v>
      </c>
      <c r="N6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2" s="455">
        <f t="shared" si="4"/>
        <v>0</v>
      </c>
      <c r="P62" s="457">
        <f t="shared" si="1"/>
        <v>0</v>
      </c>
      <c r="Q62" s="455">
        <f>'Sch4-Cost Savings by ECM'!AA62</f>
        <v>0</v>
      </c>
      <c r="R62" s="455">
        <f t="shared" si="9"/>
        <v>0</v>
      </c>
      <c r="S62" s="455">
        <f t="shared" si="10"/>
        <v>0</v>
      </c>
      <c r="T62" s="455">
        <f t="shared" si="6"/>
        <v>0</v>
      </c>
    </row>
    <row r="63" spans="1:20" ht="17" thickBot="1">
      <c r="A63" s="75" t="str">
        <f>IF('Sch2a-Imp Price by ECM'!B64="","",'Sch2a-Imp Price by ECM'!B64)</f>
        <v/>
      </c>
      <c r="B63" s="174" t="str">
        <f>IF('Sch2a-Imp Price by ECM'!D64="","",'Sch2a-Imp Price by ECM'!D64)</f>
        <v/>
      </c>
      <c r="C63" s="458" t="s">
        <v>431</v>
      </c>
      <c r="D63" s="454">
        <f>'Sch4-Cost Savings by ECM'!O63</f>
        <v>0</v>
      </c>
      <c r="E63" s="454">
        <f>VLOOKUP(C63,'eGRID subregion name'!$A$2:$N$30,8,0)</f>
        <v>189.83531623683197</v>
      </c>
      <c r="F63" s="454">
        <f t="shared" si="7"/>
        <v>0</v>
      </c>
      <c r="G63" s="455">
        <f>'Sch4-Cost Savings by ECM'!S63</f>
        <v>0</v>
      </c>
      <c r="H63" s="455">
        <f>VLOOKUP("Natural Gas", 'GHG Emissions'!$D$2:$M$66,4,FALSE)+VLOOKUP("Natural Gas", 'GHG Emissions'!$D$2:$M$66,6,FALSE)*'eGRID subregion name'!$P$3+VLOOKUP("Natural Gas", 'GHG Emissions'!$D$2:$M$66,8,FALSE)*'eGRID subregion name'!$P$4</f>
        <v>53.114800000000002</v>
      </c>
      <c r="I63" s="455">
        <f t="shared" si="3"/>
        <v>0</v>
      </c>
      <c r="J63" s="455">
        <f>'Sch4-Cost Savings by ECM'!U63</f>
        <v>0</v>
      </c>
      <c r="K6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3" s="455">
        <f t="shared" si="8"/>
        <v>0</v>
      </c>
      <c r="M63" s="455">
        <f>'Sch4-Cost Savings by ECM'!W63</f>
        <v>0</v>
      </c>
      <c r="N6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3" s="455">
        <f t="shared" si="4"/>
        <v>0</v>
      </c>
      <c r="P63" s="457">
        <f t="shared" si="1"/>
        <v>0</v>
      </c>
      <c r="Q63" s="455">
        <f>'Sch4-Cost Savings by ECM'!AA63</f>
        <v>0</v>
      </c>
      <c r="R63" s="455">
        <f t="shared" si="9"/>
        <v>0</v>
      </c>
      <c r="S63" s="455">
        <f t="shared" si="10"/>
        <v>0</v>
      </c>
      <c r="T63" s="455">
        <f t="shared" si="6"/>
        <v>0</v>
      </c>
    </row>
    <row r="64" spans="1:20" ht="17" thickBot="1">
      <c r="A64" s="75" t="str">
        <f>IF('Sch2a-Imp Price by ECM'!B65="","",'Sch2a-Imp Price by ECM'!B65)</f>
        <v/>
      </c>
      <c r="B64" s="174" t="str">
        <f>IF('Sch2a-Imp Price by ECM'!D65="","",'Sch2a-Imp Price by ECM'!D65)</f>
        <v/>
      </c>
      <c r="C64" s="458" t="s">
        <v>431</v>
      </c>
      <c r="D64" s="454">
        <f>'Sch4-Cost Savings by ECM'!O64</f>
        <v>0</v>
      </c>
      <c r="E64" s="454">
        <f>VLOOKUP(C64,'eGRID subregion name'!$A$2:$N$30,8,0)</f>
        <v>189.83531623683197</v>
      </c>
      <c r="F64" s="454">
        <f t="shared" si="7"/>
        <v>0</v>
      </c>
      <c r="G64" s="455">
        <f>'Sch4-Cost Savings by ECM'!S64</f>
        <v>0</v>
      </c>
      <c r="H64" s="455">
        <f>VLOOKUP("Natural Gas", 'GHG Emissions'!$D$2:$M$66,4,FALSE)+VLOOKUP("Natural Gas", 'GHG Emissions'!$D$2:$M$66,6,FALSE)*'eGRID subregion name'!$P$3+VLOOKUP("Natural Gas", 'GHG Emissions'!$D$2:$M$66,8,FALSE)*'eGRID subregion name'!$P$4</f>
        <v>53.114800000000002</v>
      </c>
      <c r="I64" s="455">
        <f t="shared" si="3"/>
        <v>0</v>
      </c>
      <c r="J64" s="455">
        <f>'Sch4-Cost Savings by ECM'!U64</f>
        <v>0</v>
      </c>
      <c r="K6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4" s="455">
        <f t="shared" si="8"/>
        <v>0</v>
      </c>
      <c r="M64" s="455">
        <f>'Sch4-Cost Savings by ECM'!W64</f>
        <v>0</v>
      </c>
      <c r="N6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4" s="455">
        <f t="shared" si="4"/>
        <v>0</v>
      </c>
      <c r="P64" s="457">
        <f t="shared" si="1"/>
        <v>0</v>
      </c>
      <c r="Q64" s="455">
        <f>'Sch4-Cost Savings by ECM'!AA64</f>
        <v>0</v>
      </c>
      <c r="R64" s="455">
        <f t="shared" si="9"/>
        <v>0</v>
      </c>
      <c r="S64" s="455">
        <f t="shared" si="10"/>
        <v>0</v>
      </c>
      <c r="T64" s="455">
        <f t="shared" si="6"/>
        <v>0</v>
      </c>
    </row>
    <row r="65" spans="1:20" ht="17" thickBot="1">
      <c r="A65" s="75" t="str">
        <f>IF('Sch2a-Imp Price by ECM'!B66="","",'Sch2a-Imp Price by ECM'!B66)</f>
        <v/>
      </c>
      <c r="B65" s="174" t="str">
        <f>IF('Sch2a-Imp Price by ECM'!D66="","",'Sch2a-Imp Price by ECM'!D66)</f>
        <v/>
      </c>
      <c r="C65" s="458" t="s">
        <v>431</v>
      </c>
      <c r="D65" s="454">
        <f>'Sch4-Cost Savings by ECM'!O65</f>
        <v>0</v>
      </c>
      <c r="E65" s="454">
        <f>VLOOKUP(C65,'eGRID subregion name'!$A$2:$N$30,8,0)</f>
        <v>189.83531623683197</v>
      </c>
      <c r="F65" s="454">
        <f t="shared" si="7"/>
        <v>0</v>
      </c>
      <c r="G65" s="455">
        <f>'Sch4-Cost Savings by ECM'!S65</f>
        <v>0</v>
      </c>
      <c r="H65" s="455">
        <f>VLOOKUP("Natural Gas", 'GHG Emissions'!$D$2:$M$66,4,FALSE)+VLOOKUP("Natural Gas", 'GHG Emissions'!$D$2:$M$66,6,FALSE)*'eGRID subregion name'!$P$3+VLOOKUP("Natural Gas", 'GHG Emissions'!$D$2:$M$66,8,FALSE)*'eGRID subregion name'!$P$4</f>
        <v>53.114800000000002</v>
      </c>
      <c r="I65" s="455">
        <f t="shared" si="3"/>
        <v>0</v>
      </c>
      <c r="J65" s="455">
        <f>'Sch4-Cost Savings by ECM'!U65</f>
        <v>0</v>
      </c>
      <c r="K6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5" s="455">
        <f t="shared" si="8"/>
        <v>0</v>
      </c>
      <c r="M65" s="455">
        <f>'Sch4-Cost Savings by ECM'!W65</f>
        <v>0</v>
      </c>
      <c r="N6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5" s="455">
        <f t="shared" si="4"/>
        <v>0</v>
      </c>
      <c r="P65" s="457">
        <f t="shared" si="1"/>
        <v>0</v>
      </c>
      <c r="Q65" s="455">
        <f>'Sch4-Cost Savings by ECM'!AA65</f>
        <v>0</v>
      </c>
      <c r="R65" s="455">
        <f t="shared" si="9"/>
        <v>0</v>
      </c>
      <c r="S65" s="455">
        <f t="shared" si="10"/>
        <v>0</v>
      </c>
      <c r="T65" s="455">
        <f t="shared" si="6"/>
        <v>0</v>
      </c>
    </row>
    <row r="66" spans="1:20" ht="17" thickBot="1">
      <c r="A66" s="75" t="str">
        <f>IF('Sch2a-Imp Price by ECM'!B67="","",'Sch2a-Imp Price by ECM'!B67)</f>
        <v/>
      </c>
      <c r="B66" s="174" t="str">
        <f>IF('Sch2a-Imp Price by ECM'!D67="","",'Sch2a-Imp Price by ECM'!D67)</f>
        <v/>
      </c>
      <c r="C66" s="458" t="s">
        <v>431</v>
      </c>
      <c r="D66" s="454">
        <f>'Sch4-Cost Savings by ECM'!O66</f>
        <v>0</v>
      </c>
      <c r="E66" s="454">
        <f>VLOOKUP(C66,'eGRID subregion name'!$A$2:$N$30,8,0)</f>
        <v>189.83531623683197</v>
      </c>
      <c r="F66" s="454">
        <f t="shared" si="7"/>
        <v>0</v>
      </c>
      <c r="G66" s="455">
        <f>'Sch4-Cost Savings by ECM'!S66</f>
        <v>0</v>
      </c>
      <c r="H66" s="455">
        <f>VLOOKUP("Natural Gas", 'GHG Emissions'!$D$2:$M$66,4,FALSE)+VLOOKUP("Natural Gas", 'GHG Emissions'!$D$2:$M$66,6,FALSE)*'eGRID subregion name'!$P$3+VLOOKUP("Natural Gas", 'GHG Emissions'!$D$2:$M$66,8,FALSE)*'eGRID subregion name'!$P$4</f>
        <v>53.114800000000002</v>
      </c>
      <c r="I66" s="455">
        <f t="shared" si="3"/>
        <v>0</v>
      </c>
      <c r="J66" s="455">
        <f>'Sch4-Cost Savings by ECM'!U66</f>
        <v>0</v>
      </c>
      <c r="K6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6" s="455">
        <f t="shared" si="8"/>
        <v>0</v>
      </c>
      <c r="M66" s="455">
        <f>'Sch4-Cost Savings by ECM'!W66</f>
        <v>0</v>
      </c>
      <c r="N6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6" s="455">
        <f t="shared" si="4"/>
        <v>0</v>
      </c>
      <c r="P66" s="457">
        <f t="shared" si="1"/>
        <v>0</v>
      </c>
      <c r="Q66" s="455">
        <f>'Sch4-Cost Savings by ECM'!AA66</f>
        <v>0</v>
      </c>
      <c r="R66" s="455">
        <f t="shared" si="9"/>
        <v>0</v>
      </c>
      <c r="S66" s="455">
        <f t="shared" si="10"/>
        <v>0</v>
      </c>
      <c r="T66" s="455">
        <f t="shared" si="6"/>
        <v>0</v>
      </c>
    </row>
    <row r="67" spans="1:20" ht="17" thickBot="1">
      <c r="A67" s="75" t="str">
        <f>IF('Sch2a-Imp Price by ECM'!B68="","",'Sch2a-Imp Price by ECM'!B68)</f>
        <v/>
      </c>
      <c r="B67" s="174" t="str">
        <f>IF('Sch2a-Imp Price by ECM'!D68="","",'Sch2a-Imp Price by ECM'!D68)</f>
        <v/>
      </c>
      <c r="C67" s="458" t="s">
        <v>431</v>
      </c>
      <c r="D67" s="454">
        <f>'Sch4-Cost Savings by ECM'!O67</f>
        <v>0</v>
      </c>
      <c r="E67" s="454">
        <f>VLOOKUP(C67,'eGRID subregion name'!$A$2:$N$30,8,0)</f>
        <v>189.83531623683197</v>
      </c>
      <c r="F67" s="454">
        <f t="shared" si="7"/>
        <v>0</v>
      </c>
      <c r="G67" s="455">
        <f>'Sch4-Cost Savings by ECM'!S67</f>
        <v>0</v>
      </c>
      <c r="H67" s="455">
        <f>VLOOKUP("Natural Gas", 'GHG Emissions'!$D$2:$M$66,4,FALSE)+VLOOKUP("Natural Gas", 'GHG Emissions'!$D$2:$M$66,6,FALSE)*'eGRID subregion name'!$P$3+VLOOKUP("Natural Gas", 'GHG Emissions'!$D$2:$M$66,8,FALSE)*'eGRID subregion name'!$P$4</f>
        <v>53.114800000000002</v>
      </c>
      <c r="I67" s="455">
        <f t="shared" si="3"/>
        <v>0</v>
      </c>
      <c r="J67" s="455">
        <f>'Sch4-Cost Savings by ECM'!U67</f>
        <v>0</v>
      </c>
      <c r="K6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7" s="455">
        <f t="shared" si="8"/>
        <v>0</v>
      </c>
      <c r="M67" s="455">
        <f>'Sch4-Cost Savings by ECM'!W67</f>
        <v>0</v>
      </c>
      <c r="N6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7" s="455">
        <f t="shared" si="4"/>
        <v>0</v>
      </c>
      <c r="P67" s="457">
        <f t="shared" si="1"/>
        <v>0</v>
      </c>
      <c r="Q67" s="455">
        <f>'Sch4-Cost Savings by ECM'!AA67</f>
        <v>0</v>
      </c>
      <c r="R67" s="455">
        <f t="shared" si="9"/>
        <v>0</v>
      </c>
      <c r="S67" s="455">
        <f t="shared" si="10"/>
        <v>0</v>
      </c>
      <c r="T67" s="455">
        <f t="shared" si="6"/>
        <v>0</v>
      </c>
    </row>
    <row r="68" spans="1:20" ht="17" thickBot="1">
      <c r="A68" s="75" t="str">
        <f>IF('Sch2a-Imp Price by ECM'!B69="","",'Sch2a-Imp Price by ECM'!B69)</f>
        <v/>
      </c>
      <c r="B68" s="174" t="str">
        <f>IF('Sch2a-Imp Price by ECM'!D69="","",'Sch2a-Imp Price by ECM'!D69)</f>
        <v/>
      </c>
      <c r="C68" s="458" t="s">
        <v>431</v>
      </c>
      <c r="D68" s="454">
        <f>'Sch4-Cost Savings by ECM'!O68</f>
        <v>0</v>
      </c>
      <c r="E68" s="454">
        <f>VLOOKUP(C68,'eGRID subregion name'!$A$2:$N$30,8,0)</f>
        <v>189.83531623683197</v>
      </c>
      <c r="F68" s="454">
        <f t="shared" si="7"/>
        <v>0</v>
      </c>
      <c r="G68" s="455">
        <f>'Sch4-Cost Savings by ECM'!S68</f>
        <v>0</v>
      </c>
      <c r="H68" s="455">
        <f>VLOOKUP("Natural Gas", 'GHG Emissions'!$D$2:$M$66,4,FALSE)+VLOOKUP("Natural Gas", 'GHG Emissions'!$D$2:$M$66,6,FALSE)*'eGRID subregion name'!$P$3+VLOOKUP("Natural Gas", 'GHG Emissions'!$D$2:$M$66,8,FALSE)*'eGRID subregion name'!$P$4</f>
        <v>53.114800000000002</v>
      </c>
      <c r="I68" s="455">
        <f t="shared" si="3"/>
        <v>0</v>
      </c>
      <c r="J68" s="455">
        <f>'Sch4-Cost Savings by ECM'!U68</f>
        <v>0</v>
      </c>
      <c r="K6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8" s="455">
        <f t="shared" si="8"/>
        <v>0</v>
      </c>
      <c r="M68" s="455">
        <f>'Sch4-Cost Savings by ECM'!W68</f>
        <v>0</v>
      </c>
      <c r="N6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8" s="455">
        <f t="shared" si="4"/>
        <v>0</v>
      </c>
      <c r="P68" s="457">
        <f t="shared" si="1"/>
        <v>0</v>
      </c>
      <c r="Q68" s="455">
        <f>'Sch4-Cost Savings by ECM'!AA68</f>
        <v>0</v>
      </c>
      <c r="R68" s="455">
        <f t="shared" si="9"/>
        <v>0</v>
      </c>
      <c r="S68" s="455">
        <f t="shared" si="10"/>
        <v>0</v>
      </c>
      <c r="T68" s="455">
        <f t="shared" si="6"/>
        <v>0</v>
      </c>
    </row>
    <row r="69" spans="1:20" ht="17" thickBot="1">
      <c r="A69" s="75" t="str">
        <f>IF('Sch2a-Imp Price by ECM'!B70="","",'Sch2a-Imp Price by ECM'!B70)</f>
        <v/>
      </c>
      <c r="B69" s="174" t="str">
        <f>IF('Sch2a-Imp Price by ECM'!D70="","",'Sch2a-Imp Price by ECM'!D70)</f>
        <v/>
      </c>
      <c r="C69" s="458" t="s">
        <v>431</v>
      </c>
      <c r="D69" s="454">
        <f>'Sch4-Cost Savings by ECM'!O69</f>
        <v>0</v>
      </c>
      <c r="E69" s="454">
        <f>VLOOKUP(C69,'eGRID subregion name'!$A$2:$N$30,8,0)</f>
        <v>189.83531623683197</v>
      </c>
      <c r="F69" s="454">
        <f t="shared" si="7"/>
        <v>0</v>
      </c>
      <c r="G69" s="455">
        <f>'Sch4-Cost Savings by ECM'!S69</f>
        <v>0</v>
      </c>
      <c r="H69" s="455">
        <f>VLOOKUP("Natural Gas", 'GHG Emissions'!$D$2:$M$66,4,FALSE)+VLOOKUP("Natural Gas", 'GHG Emissions'!$D$2:$M$66,6,FALSE)*'eGRID subregion name'!$P$3+VLOOKUP("Natural Gas", 'GHG Emissions'!$D$2:$M$66,8,FALSE)*'eGRID subregion name'!$P$4</f>
        <v>53.114800000000002</v>
      </c>
      <c r="I69" s="455">
        <f t="shared" si="3"/>
        <v>0</v>
      </c>
      <c r="J69" s="455">
        <f>'Sch4-Cost Savings by ECM'!U69</f>
        <v>0</v>
      </c>
      <c r="K6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69" s="455">
        <f t="shared" si="8"/>
        <v>0</v>
      </c>
      <c r="M69" s="455">
        <f>'Sch4-Cost Savings by ECM'!W69</f>
        <v>0</v>
      </c>
      <c r="N6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69" s="455">
        <f t="shared" si="4"/>
        <v>0</v>
      </c>
      <c r="P69" s="457">
        <f t="shared" si="1"/>
        <v>0</v>
      </c>
      <c r="Q69" s="455">
        <f>'Sch4-Cost Savings by ECM'!AA69</f>
        <v>0</v>
      </c>
      <c r="R69" s="455">
        <f t="shared" si="9"/>
        <v>0</v>
      </c>
      <c r="S69" s="455">
        <f t="shared" si="10"/>
        <v>0</v>
      </c>
      <c r="T69" s="455">
        <f t="shared" si="6"/>
        <v>0</v>
      </c>
    </row>
    <row r="70" spans="1:20" ht="17" thickBot="1">
      <c r="A70" s="75" t="str">
        <f>IF('Sch2a-Imp Price by ECM'!B71="","",'Sch2a-Imp Price by ECM'!B71)</f>
        <v/>
      </c>
      <c r="B70" s="174" t="str">
        <f>IF('Sch2a-Imp Price by ECM'!D71="","",'Sch2a-Imp Price by ECM'!D71)</f>
        <v/>
      </c>
      <c r="C70" s="458" t="s">
        <v>431</v>
      </c>
      <c r="D70" s="454">
        <f>'Sch4-Cost Savings by ECM'!O70</f>
        <v>0</v>
      </c>
      <c r="E70" s="454">
        <f>VLOOKUP(C70,'eGRID subregion name'!$A$2:$N$30,8,0)</f>
        <v>189.83531623683197</v>
      </c>
      <c r="F70" s="454">
        <f t="shared" si="7"/>
        <v>0</v>
      </c>
      <c r="G70" s="455">
        <f>'Sch4-Cost Savings by ECM'!S70</f>
        <v>0</v>
      </c>
      <c r="H70" s="455">
        <f>VLOOKUP("Natural Gas", 'GHG Emissions'!$D$2:$M$66,4,FALSE)+VLOOKUP("Natural Gas", 'GHG Emissions'!$D$2:$M$66,6,FALSE)*'eGRID subregion name'!$P$3+VLOOKUP("Natural Gas", 'GHG Emissions'!$D$2:$M$66,8,FALSE)*'eGRID subregion name'!$P$4</f>
        <v>53.114800000000002</v>
      </c>
      <c r="I70" s="455">
        <f t="shared" si="3"/>
        <v>0</v>
      </c>
      <c r="J70" s="455">
        <f>'Sch4-Cost Savings by ECM'!U70</f>
        <v>0</v>
      </c>
      <c r="K7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0" s="455">
        <f t="shared" si="8"/>
        <v>0</v>
      </c>
      <c r="M70" s="455">
        <f>'Sch4-Cost Savings by ECM'!W70</f>
        <v>0</v>
      </c>
      <c r="N7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0" s="455">
        <f t="shared" si="4"/>
        <v>0</v>
      </c>
      <c r="P70" s="457">
        <f t="shared" si="1"/>
        <v>0</v>
      </c>
      <c r="Q70" s="455">
        <f>'Sch4-Cost Savings by ECM'!AA70</f>
        <v>0</v>
      </c>
      <c r="R70" s="455">
        <f t="shared" si="9"/>
        <v>0</v>
      </c>
      <c r="S70" s="455">
        <f t="shared" si="10"/>
        <v>0</v>
      </c>
      <c r="T70" s="455">
        <f t="shared" si="6"/>
        <v>0</v>
      </c>
    </row>
    <row r="71" spans="1:20" ht="17" thickBot="1">
      <c r="A71" s="75" t="str">
        <f>IF('Sch2a-Imp Price by ECM'!B72="","",'Sch2a-Imp Price by ECM'!B72)</f>
        <v/>
      </c>
      <c r="B71" s="174" t="str">
        <f>IF('Sch2a-Imp Price by ECM'!D72="","",'Sch2a-Imp Price by ECM'!D72)</f>
        <v/>
      </c>
      <c r="C71" s="458" t="s">
        <v>431</v>
      </c>
      <c r="D71" s="454">
        <f>'Sch4-Cost Savings by ECM'!O71</f>
        <v>0</v>
      </c>
      <c r="E71" s="454">
        <f>VLOOKUP(C71,'eGRID subregion name'!$A$2:$N$30,8,0)</f>
        <v>189.83531623683197</v>
      </c>
      <c r="F71" s="454">
        <f t="shared" si="7"/>
        <v>0</v>
      </c>
      <c r="G71" s="455">
        <f>'Sch4-Cost Savings by ECM'!S71</f>
        <v>0</v>
      </c>
      <c r="H71" s="455">
        <f>VLOOKUP("Natural Gas", 'GHG Emissions'!$D$2:$M$66,4,FALSE)+VLOOKUP("Natural Gas", 'GHG Emissions'!$D$2:$M$66,6,FALSE)*'eGRID subregion name'!$P$3+VLOOKUP("Natural Gas", 'GHG Emissions'!$D$2:$M$66,8,FALSE)*'eGRID subregion name'!$P$4</f>
        <v>53.114800000000002</v>
      </c>
      <c r="I71" s="455">
        <f t="shared" si="3"/>
        <v>0</v>
      </c>
      <c r="J71" s="455">
        <f>'Sch4-Cost Savings by ECM'!U71</f>
        <v>0</v>
      </c>
      <c r="K7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1" s="455">
        <f t="shared" si="8"/>
        <v>0</v>
      </c>
      <c r="M71" s="455">
        <f>'Sch4-Cost Savings by ECM'!W71</f>
        <v>0</v>
      </c>
      <c r="N7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1" s="455">
        <f t="shared" si="4"/>
        <v>0</v>
      </c>
      <c r="P71" s="457">
        <f t="shared" si="1"/>
        <v>0</v>
      </c>
      <c r="Q71" s="455">
        <f>'Sch4-Cost Savings by ECM'!AA71</f>
        <v>0</v>
      </c>
      <c r="R71" s="455">
        <f t="shared" si="9"/>
        <v>0</v>
      </c>
      <c r="S71" s="455">
        <f t="shared" si="10"/>
        <v>0</v>
      </c>
      <c r="T71" s="455">
        <f t="shared" si="6"/>
        <v>0</v>
      </c>
    </row>
    <row r="72" spans="1:20" ht="17" thickBot="1">
      <c r="A72" s="75" t="str">
        <f>IF('Sch2a-Imp Price by ECM'!B73="","",'Sch2a-Imp Price by ECM'!B73)</f>
        <v/>
      </c>
      <c r="B72" s="174" t="str">
        <f>IF('Sch2a-Imp Price by ECM'!D73="","",'Sch2a-Imp Price by ECM'!D73)</f>
        <v/>
      </c>
      <c r="C72" s="458" t="s">
        <v>431</v>
      </c>
      <c r="D72" s="454">
        <f>'Sch4-Cost Savings by ECM'!O72</f>
        <v>0</v>
      </c>
      <c r="E72" s="454">
        <f>VLOOKUP(C72,'eGRID subregion name'!$A$2:$N$30,8,0)</f>
        <v>189.83531623683197</v>
      </c>
      <c r="F72" s="454">
        <f t="shared" si="7"/>
        <v>0</v>
      </c>
      <c r="G72" s="455">
        <f>'Sch4-Cost Savings by ECM'!S72</f>
        <v>0</v>
      </c>
      <c r="H72" s="455">
        <f>VLOOKUP("Natural Gas", 'GHG Emissions'!$D$2:$M$66,4,FALSE)+VLOOKUP("Natural Gas", 'GHG Emissions'!$D$2:$M$66,6,FALSE)*'eGRID subregion name'!$P$3+VLOOKUP("Natural Gas", 'GHG Emissions'!$D$2:$M$66,8,FALSE)*'eGRID subregion name'!$P$4</f>
        <v>53.114800000000002</v>
      </c>
      <c r="I72" s="455">
        <f t="shared" si="3"/>
        <v>0</v>
      </c>
      <c r="J72" s="455">
        <f>'Sch4-Cost Savings by ECM'!U72</f>
        <v>0</v>
      </c>
      <c r="K7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2" s="455">
        <f t="shared" si="8"/>
        <v>0</v>
      </c>
      <c r="M72" s="455">
        <f>'Sch4-Cost Savings by ECM'!W72</f>
        <v>0</v>
      </c>
      <c r="N7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2" s="455">
        <f t="shared" si="4"/>
        <v>0</v>
      </c>
      <c r="P72" s="457">
        <f t="shared" ref="P72:P135" si="11">(D72*3412/10^6)+G72+J72+M72</f>
        <v>0</v>
      </c>
      <c r="Q72" s="455">
        <f>'Sch4-Cost Savings by ECM'!AA72</f>
        <v>0</v>
      </c>
      <c r="R72" s="455">
        <f t="shared" si="9"/>
        <v>0</v>
      </c>
      <c r="S72" s="455">
        <f t="shared" si="10"/>
        <v>0</v>
      </c>
      <c r="T72" s="455">
        <f t="shared" si="6"/>
        <v>0</v>
      </c>
    </row>
    <row r="73" spans="1:20" ht="17" thickBot="1">
      <c r="A73" s="75" t="str">
        <f>IF('Sch2a-Imp Price by ECM'!B74="","",'Sch2a-Imp Price by ECM'!B74)</f>
        <v/>
      </c>
      <c r="B73" s="174" t="str">
        <f>IF('Sch2a-Imp Price by ECM'!D74="","",'Sch2a-Imp Price by ECM'!D74)</f>
        <v/>
      </c>
      <c r="C73" s="458" t="s">
        <v>431</v>
      </c>
      <c r="D73" s="454">
        <f>'Sch4-Cost Savings by ECM'!O73</f>
        <v>0</v>
      </c>
      <c r="E73" s="454">
        <f>VLOOKUP(C73,'eGRID subregion name'!$A$2:$N$30,8,0)</f>
        <v>189.83531623683197</v>
      </c>
      <c r="F73" s="454">
        <f t="shared" si="7"/>
        <v>0</v>
      </c>
      <c r="G73" s="455">
        <f>'Sch4-Cost Savings by ECM'!S73</f>
        <v>0</v>
      </c>
      <c r="H73" s="455">
        <f>VLOOKUP("Natural Gas", 'GHG Emissions'!$D$2:$M$66,4,FALSE)+VLOOKUP("Natural Gas", 'GHG Emissions'!$D$2:$M$66,6,FALSE)*'eGRID subregion name'!$P$3+VLOOKUP("Natural Gas", 'GHG Emissions'!$D$2:$M$66,8,FALSE)*'eGRID subregion name'!$P$4</f>
        <v>53.114800000000002</v>
      </c>
      <c r="I73" s="455">
        <f t="shared" ref="I73:I136" si="12">G73*H73</f>
        <v>0</v>
      </c>
      <c r="J73" s="455">
        <f>'Sch4-Cost Savings by ECM'!U73</f>
        <v>0</v>
      </c>
      <c r="K7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3" s="455">
        <f t="shared" ref="L73:L136" si="13">K73*J73</f>
        <v>0</v>
      </c>
      <c r="M73" s="455">
        <f>'Sch4-Cost Savings by ECM'!W73</f>
        <v>0</v>
      </c>
      <c r="N7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3" s="455">
        <f t="shared" ref="O73:O136" si="14">M73*N73</f>
        <v>0</v>
      </c>
      <c r="P73" s="457">
        <f t="shared" si="11"/>
        <v>0</v>
      </c>
      <c r="Q73" s="455">
        <f>'Sch4-Cost Savings by ECM'!AA73</f>
        <v>0</v>
      </c>
      <c r="R73" s="455">
        <f t="shared" si="9"/>
        <v>0</v>
      </c>
      <c r="S73" s="455">
        <f t="shared" si="10"/>
        <v>0</v>
      </c>
      <c r="T73" s="455">
        <f t="shared" ref="T73:T136" si="15">R73+S73</f>
        <v>0</v>
      </c>
    </row>
    <row r="74" spans="1:20" ht="17" thickBot="1">
      <c r="A74" s="75" t="str">
        <f>IF('Sch2a-Imp Price by ECM'!B75="","",'Sch2a-Imp Price by ECM'!B75)</f>
        <v/>
      </c>
      <c r="B74" s="174" t="str">
        <f>IF('Sch2a-Imp Price by ECM'!D75="","",'Sch2a-Imp Price by ECM'!D75)</f>
        <v/>
      </c>
      <c r="C74" s="458" t="s">
        <v>431</v>
      </c>
      <c r="D74" s="454">
        <f>'Sch4-Cost Savings by ECM'!O74</f>
        <v>0</v>
      </c>
      <c r="E74" s="454">
        <f>VLOOKUP(C74,'eGRID subregion name'!$A$2:$N$30,8,0)</f>
        <v>189.83531623683197</v>
      </c>
      <c r="F74" s="454">
        <f t="shared" ref="F74:F137" si="16">D74*3412*E74/1000000</f>
        <v>0</v>
      </c>
      <c r="G74" s="455">
        <f>'Sch4-Cost Savings by ECM'!S74</f>
        <v>0</v>
      </c>
      <c r="H74" s="455">
        <f>VLOOKUP("Natural Gas", 'GHG Emissions'!$D$2:$M$66,4,FALSE)+VLOOKUP("Natural Gas", 'GHG Emissions'!$D$2:$M$66,6,FALSE)*'eGRID subregion name'!$P$3+VLOOKUP("Natural Gas", 'GHG Emissions'!$D$2:$M$66,8,FALSE)*'eGRID subregion name'!$P$4</f>
        <v>53.114800000000002</v>
      </c>
      <c r="I74" s="455">
        <f t="shared" si="12"/>
        <v>0</v>
      </c>
      <c r="J74" s="455">
        <f>'Sch4-Cost Savings by ECM'!U74</f>
        <v>0</v>
      </c>
      <c r="K7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4" s="455">
        <f t="shared" si="13"/>
        <v>0</v>
      </c>
      <c r="M74" s="455">
        <f>'Sch4-Cost Savings by ECM'!W74</f>
        <v>0</v>
      </c>
      <c r="N7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4" s="455">
        <f t="shared" si="14"/>
        <v>0</v>
      </c>
      <c r="P74" s="457">
        <f t="shared" si="11"/>
        <v>0</v>
      </c>
      <c r="Q74" s="455">
        <f>'Sch4-Cost Savings by ECM'!AA74</f>
        <v>0</v>
      </c>
      <c r="R74" s="455">
        <f t="shared" ref="R74:R137" si="17">I74+(IF($L$5&lt;&gt;"Other Savings Type 1: Chilled Water",L74,0)+IF($O$5&lt;&gt;"Other Savings Type 2: Chilled Water",O74,0))</f>
        <v>0</v>
      </c>
      <c r="S74" s="455">
        <f t="shared" ref="S74:S137" si="18">F74+(IF($L$5="Other Savings Type 1: Chilled Water",L74,0)+IF($O$5="Other Savings Type 2: Chilled Water",O74,0))</f>
        <v>0</v>
      </c>
      <c r="T74" s="455">
        <f t="shared" si="15"/>
        <v>0</v>
      </c>
    </row>
    <row r="75" spans="1:20" ht="17" thickBot="1">
      <c r="A75" s="75" t="str">
        <f>IF('Sch2a-Imp Price by ECM'!B76="","",'Sch2a-Imp Price by ECM'!B76)</f>
        <v/>
      </c>
      <c r="B75" s="174" t="str">
        <f>IF('Sch2a-Imp Price by ECM'!D76="","",'Sch2a-Imp Price by ECM'!D76)</f>
        <v/>
      </c>
      <c r="C75" s="458" t="s">
        <v>431</v>
      </c>
      <c r="D75" s="454">
        <f>'Sch4-Cost Savings by ECM'!O75</f>
        <v>0</v>
      </c>
      <c r="E75" s="454">
        <f>VLOOKUP(C75,'eGRID subregion name'!$A$2:$N$30,8,0)</f>
        <v>189.83531623683197</v>
      </c>
      <c r="F75" s="454">
        <f t="shared" si="16"/>
        <v>0</v>
      </c>
      <c r="G75" s="455">
        <f>'Sch4-Cost Savings by ECM'!S75</f>
        <v>0</v>
      </c>
      <c r="H75" s="455">
        <f>VLOOKUP("Natural Gas", 'GHG Emissions'!$D$2:$M$66,4,FALSE)+VLOOKUP("Natural Gas", 'GHG Emissions'!$D$2:$M$66,6,FALSE)*'eGRID subregion name'!$P$3+VLOOKUP("Natural Gas", 'GHG Emissions'!$D$2:$M$66,8,FALSE)*'eGRID subregion name'!$P$4</f>
        <v>53.114800000000002</v>
      </c>
      <c r="I75" s="455">
        <f t="shared" si="12"/>
        <v>0</v>
      </c>
      <c r="J75" s="455">
        <f>'Sch4-Cost Savings by ECM'!U75</f>
        <v>0</v>
      </c>
      <c r="K7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5" s="455">
        <f t="shared" si="13"/>
        <v>0</v>
      </c>
      <c r="M75" s="455">
        <f>'Sch4-Cost Savings by ECM'!W75</f>
        <v>0</v>
      </c>
      <c r="N7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5" s="455">
        <f t="shared" si="14"/>
        <v>0</v>
      </c>
      <c r="P75" s="457">
        <f t="shared" si="11"/>
        <v>0</v>
      </c>
      <c r="Q75" s="455">
        <f>'Sch4-Cost Savings by ECM'!AA75</f>
        <v>0</v>
      </c>
      <c r="R75" s="455">
        <f t="shared" si="17"/>
        <v>0</v>
      </c>
      <c r="S75" s="455">
        <f t="shared" si="18"/>
        <v>0</v>
      </c>
      <c r="T75" s="455">
        <f t="shared" si="15"/>
        <v>0</v>
      </c>
    </row>
    <row r="76" spans="1:20" ht="18" customHeight="1" thickBot="1">
      <c r="A76" s="75" t="str">
        <f>IF('Sch2a-Imp Price by ECM'!B77="","",'Sch2a-Imp Price by ECM'!B77)</f>
        <v/>
      </c>
      <c r="B76" s="174" t="str">
        <f>IF('Sch2a-Imp Price by ECM'!D77="","",'Sch2a-Imp Price by ECM'!D77)</f>
        <v/>
      </c>
      <c r="C76" s="458" t="s">
        <v>431</v>
      </c>
      <c r="D76" s="454">
        <f>'Sch4-Cost Savings by ECM'!O76</f>
        <v>0</v>
      </c>
      <c r="E76" s="454">
        <f>VLOOKUP(C76,'eGRID subregion name'!$A$2:$N$30,8,0)</f>
        <v>189.83531623683197</v>
      </c>
      <c r="F76" s="454">
        <f t="shared" si="16"/>
        <v>0</v>
      </c>
      <c r="G76" s="455">
        <f>'Sch4-Cost Savings by ECM'!S76</f>
        <v>0</v>
      </c>
      <c r="H76" s="455">
        <f>VLOOKUP("Natural Gas", 'GHG Emissions'!$D$2:$M$66,4,FALSE)+VLOOKUP("Natural Gas", 'GHG Emissions'!$D$2:$M$66,6,FALSE)*'eGRID subregion name'!$P$3+VLOOKUP("Natural Gas", 'GHG Emissions'!$D$2:$M$66,8,FALSE)*'eGRID subregion name'!$P$4</f>
        <v>53.114800000000002</v>
      </c>
      <c r="I76" s="455">
        <f t="shared" si="12"/>
        <v>0</v>
      </c>
      <c r="J76" s="455">
        <f>'Sch4-Cost Savings by ECM'!U76</f>
        <v>0</v>
      </c>
      <c r="K7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6" s="455">
        <f t="shared" si="13"/>
        <v>0</v>
      </c>
      <c r="M76" s="455">
        <f>'Sch4-Cost Savings by ECM'!W76</f>
        <v>0</v>
      </c>
      <c r="N7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6" s="455">
        <f t="shared" si="14"/>
        <v>0</v>
      </c>
      <c r="P76" s="457">
        <f t="shared" si="11"/>
        <v>0</v>
      </c>
      <c r="Q76" s="455">
        <f>'Sch4-Cost Savings by ECM'!AA76</f>
        <v>0</v>
      </c>
      <c r="R76" s="455">
        <f t="shared" si="17"/>
        <v>0</v>
      </c>
      <c r="S76" s="455">
        <f t="shared" si="18"/>
        <v>0</v>
      </c>
      <c r="T76" s="455">
        <f t="shared" si="15"/>
        <v>0</v>
      </c>
    </row>
    <row r="77" spans="1:20" ht="17" thickBot="1">
      <c r="A77" s="75" t="str">
        <f>IF('Sch2a-Imp Price by ECM'!B78="","",'Sch2a-Imp Price by ECM'!B78)</f>
        <v/>
      </c>
      <c r="B77" s="174" t="str">
        <f>IF('Sch2a-Imp Price by ECM'!D78="","",'Sch2a-Imp Price by ECM'!D78)</f>
        <v/>
      </c>
      <c r="C77" s="458" t="s">
        <v>431</v>
      </c>
      <c r="D77" s="454">
        <f>'Sch4-Cost Savings by ECM'!O77</f>
        <v>0</v>
      </c>
      <c r="E77" s="454">
        <f>VLOOKUP(C77,'eGRID subregion name'!$A$2:$N$30,8,0)</f>
        <v>189.83531623683197</v>
      </c>
      <c r="F77" s="454">
        <f t="shared" si="16"/>
        <v>0</v>
      </c>
      <c r="G77" s="455">
        <f>'Sch4-Cost Savings by ECM'!S77</f>
        <v>0</v>
      </c>
      <c r="H77" s="455">
        <f>VLOOKUP("Natural Gas", 'GHG Emissions'!$D$2:$M$66,4,FALSE)+VLOOKUP("Natural Gas", 'GHG Emissions'!$D$2:$M$66,6,FALSE)*'eGRID subregion name'!$P$3+VLOOKUP("Natural Gas", 'GHG Emissions'!$D$2:$M$66,8,FALSE)*'eGRID subregion name'!$P$4</f>
        <v>53.114800000000002</v>
      </c>
      <c r="I77" s="455">
        <f t="shared" si="12"/>
        <v>0</v>
      </c>
      <c r="J77" s="455">
        <f>'Sch4-Cost Savings by ECM'!U77</f>
        <v>0</v>
      </c>
      <c r="K7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7" s="455">
        <f t="shared" si="13"/>
        <v>0</v>
      </c>
      <c r="M77" s="455">
        <f>'Sch4-Cost Savings by ECM'!W77</f>
        <v>0</v>
      </c>
      <c r="N7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7" s="455">
        <f t="shared" si="14"/>
        <v>0</v>
      </c>
      <c r="P77" s="457">
        <f t="shared" si="11"/>
        <v>0</v>
      </c>
      <c r="Q77" s="455">
        <f>'Sch4-Cost Savings by ECM'!AA77</f>
        <v>0</v>
      </c>
      <c r="R77" s="455">
        <f t="shared" si="17"/>
        <v>0</v>
      </c>
      <c r="S77" s="455">
        <f t="shared" si="18"/>
        <v>0</v>
      </c>
      <c r="T77" s="455">
        <f t="shared" si="15"/>
        <v>0</v>
      </c>
    </row>
    <row r="78" spans="1:20" ht="17" thickBot="1">
      <c r="A78" s="75" t="str">
        <f>IF('Sch2a-Imp Price by ECM'!B79="","",'Sch2a-Imp Price by ECM'!B79)</f>
        <v/>
      </c>
      <c r="B78" s="174" t="str">
        <f>IF('Sch2a-Imp Price by ECM'!D79="","",'Sch2a-Imp Price by ECM'!D79)</f>
        <v/>
      </c>
      <c r="C78" s="458" t="s">
        <v>431</v>
      </c>
      <c r="D78" s="454">
        <f>'Sch4-Cost Savings by ECM'!O78</f>
        <v>0</v>
      </c>
      <c r="E78" s="454">
        <f>VLOOKUP(C78,'eGRID subregion name'!$A$2:$N$30,8,0)</f>
        <v>189.83531623683197</v>
      </c>
      <c r="F78" s="454">
        <f t="shared" si="16"/>
        <v>0</v>
      </c>
      <c r="G78" s="455">
        <f>'Sch4-Cost Savings by ECM'!S78</f>
        <v>0</v>
      </c>
      <c r="H78" s="455">
        <f>VLOOKUP("Natural Gas", 'GHG Emissions'!$D$2:$M$66,4,FALSE)+VLOOKUP("Natural Gas", 'GHG Emissions'!$D$2:$M$66,6,FALSE)*'eGRID subregion name'!$P$3+VLOOKUP("Natural Gas", 'GHG Emissions'!$D$2:$M$66,8,FALSE)*'eGRID subregion name'!$P$4</f>
        <v>53.114800000000002</v>
      </c>
      <c r="I78" s="455">
        <f t="shared" si="12"/>
        <v>0</v>
      </c>
      <c r="J78" s="455">
        <f>'Sch4-Cost Savings by ECM'!U78</f>
        <v>0</v>
      </c>
      <c r="K7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8" s="455">
        <f t="shared" si="13"/>
        <v>0</v>
      </c>
      <c r="M78" s="455">
        <f>'Sch4-Cost Savings by ECM'!W78</f>
        <v>0</v>
      </c>
      <c r="N7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8" s="455">
        <f t="shared" si="14"/>
        <v>0</v>
      </c>
      <c r="P78" s="457">
        <f t="shared" si="11"/>
        <v>0</v>
      </c>
      <c r="Q78" s="455">
        <f>'Sch4-Cost Savings by ECM'!AA78</f>
        <v>0</v>
      </c>
      <c r="R78" s="455">
        <f t="shared" si="17"/>
        <v>0</v>
      </c>
      <c r="S78" s="455">
        <f t="shared" si="18"/>
        <v>0</v>
      </c>
      <c r="T78" s="455">
        <f t="shared" si="15"/>
        <v>0</v>
      </c>
    </row>
    <row r="79" spans="1:20" ht="17" thickBot="1">
      <c r="A79" s="75" t="str">
        <f>IF('Sch2a-Imp Price by ECM'!B80="","",'Sch2a-Imp Price by ECM'!B80)</f>
        <v/>
      </c>
      <c r="B79" s="174" t="str">
        <f>IF('Sch2a-Imp Price by ECM'!D80="","",'Sch2a-Imp Price by ECM'!D80)</f>
        <v/>
      </c>
      <c r="C79" s="458" t="s">
        <v>431</v>
      </c>
      <c r="D79" s="454">
        <f>'Sch4-Cost Savings by ECM'!O79</f>
        <v>0</v>
      </c>
      <c r="E79" s="454">
        <f>VLOOKUP(C79,'eGRID subregion name'!$A$2:$N$30,8,0)</f>
        <v>189.83531623683197</v>
      </c>
      <c r="F79" s="454">
        <f t="shared" si="16"/>
        <v>0</v>
      </c>
      <c r="G79" s="455">
        <f>'Sch4-Cost Savings by ECM'!S79</f>
        <v>0</v>
      </c>
      <c r="H79" s="455">
        <f>VLOOKUP("Natural Gas", 'GHG Emissions'!$D$2:$M$66,4,FALSE)+VLOOKUP("Natural Gas", 'GHG Emissions'!$D$2:$M$66,6,FALSE)*'eGRID subregion name'!$P$3+VLOOKUP("Natural Gas", 'GHG Emissions'!$D$2:$M$66,8,FALSE)*'eGRID subregion name'!$P$4</f>
        <v>53.114800000000002</v>
      </c>
      <c r="I79" s="455">
        <f t="shared" si="12"/>
        <v>0</v>
      </c>
      <c r="J79" s="455">
        <f>'Sch4-Cost Savings by ECM'!U79</f>
        <v>0</v>
      </c>
      <c r="K7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79" s="455">
        <f t="shared" si="13"/>
        <v>0</v>
      </c>
      <c r="M79" s="455">
        <f>'Sch4-Cost Savings by ECM'!W79</f>
        <v>0</v>
      </c>
      <c r="N7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79" s="455">
        <f t="shared" si="14"/>
        <v>0</v>
      </c>
      <c r="P79" s="457">
        <f t="shared" si="11"/>
        <v>0</v>
      </c>
      <c r="Q79" s="455">
        <f>'Sch4-Cost Savings by ECM'!AA79</f>
        <v>0</v>
      </c>
      <c r="R79" s="455">
        <f t="shared" si="17"/>
        <v>0</v>
      </c>
      <c r="S79" s="455">
        <f t="shared" si="18"/>
        <v>0</v>
      </c>
      <c r="T79" s="455">
        <f t="shared" si="15"/>
        <v>0</v>
      </c>
    </row>
    <row r="80" spans="1:20" ht="17" thickBot="1">
      <c r="A80" s="75" t="str">
        <f>IF('Sch2a-Imp Price by ECM'!B81="","",'Sch2a-Imp Price by ECM'!B81)</f>
        <v/>
      </c>
      <c r="B80" s="174" t="str">
        <f>IF('Sch2a-Imp Price by ECM'!D81="","",'Sch2a-Imp Price by ECM'!D81)</f>
        <v/>
      </c>
      <c r="C80" s="458" t="s">
        <v>431</v>
      </c>
      <c r="D80" s="454">
        <f>'Sch4-Cost Savings by ECM'!O80</f>
        <v>0</v>
      </c>
      <c r="E80" s="454">
        <f>VLOOKUP(C80,'eGRID subregion name'!$A$2:$N$30,8,0)</f>
        <v>189.83531623683197</v>
      </c>
      <c r="F80" s="454">
        <f t="shared" si="16"/>
        <v>0</v>
      </c>
      <c r="G80" s="455">
        <f>'Sch4-Cost Savings by ECM'!S80</f>
        <v>0</v>
      </c>
      <c r="H80" s="455">
        <f>VLOOKUP("Natural Gas", 'GHG Emissions'!$D$2:$M$66,4,FALSE)+VLOOKUP("Natural Gas", 'GHG Emissions'!$D$2:$M$66,6,FALSE)*'eGRID subregion name'!$P$3+VLOOKUP("Natural Gas", 'GHG Emissions'!$D$2:$M$66,8,FALSE)*'eGRID subregion name'!$P$4</f>
        <v>53.114800000000002</v>
      </c>
      <c r="I80" s="455">
        <f t="shared" si="12"/>
        <v>0</v>
      </c>
      <c r="J80" s="455">
        <f>'Sch4-Cost Savings by ECM'!U80</f>
        <v>0</v>
      </c>
      <c r="K8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0" s="455">
        <f t="shared" si="13"/>
        <v>0</v>
      </c>
      <c r="M80" s="455">
        <f>'Sch4-Cost Savings by ECM'!W80</f>
        <v>0</v>
      </c>
      <c r="N8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0" s="455">
        <f t="shared" si="14"/>
        <v>0</v>
      </c>
      <c r="P80" s="457">
        <f t="shared" si="11"/>
        <v>0</v>
      </c>
      <c r="Q80" s="455">
        <f>'Sch4-Cost Savings by ECM'!AA80</f>
        <v>0</v>
      </c>
      <c r="R80" s="455">
        <f t="shared" si="17"/>
        <v>0</v>
      </c>
      <c r="S80" s="455">
        <f t="shared" si="18"/>
        <v>0</v>
      </c>
      <c r="T80" s="455">
        <f t="shared" si="15"/>
        <v>0</v>
      </c>
    </row>
    <row r="81" spans="1:20" ht="17" thickBot="1">
      <c r="A81" s="75" t="str">
        <f>IF('Sch2a-Imp Price by ECM'!B82="","",'Sch2a-Imp Price by ECM'!B82)</f>
        <v/>
      </c>
      <c r="B81" s="174" t="str">
        <f>IF('Sch2a-Imp Price by ECM'!D82="","",'Sch2a-Imp Price by ECM'!D82)</f>
        <v/>
      </c>
      <c r="C81" s="458" t="s">
        <v>431</v>
      </c>
      <c r="D81" s="454">
        <f>'Sch4-Cost Savings by ECM'!O81</f>
        <v>0</v>
      </c>
      <c r="E81" s="454">
        <f>VLOOKUP(C81,'eGRID subregion name'!$A$2:$N$30,8,0)</f>
        <v>189.83531623683197</v>
      </c>
      <c r="F81" s="454">
        <f t="shared" si="16"/>
        <v>0</v>
      </c>
      <c r="G81" s="455">
        <f>'Sch4-Cost Savings by ECM'!S81</f>
        <v>0</v>
      </c>
      <c r="H81" s="455">
        <f>VLOOKUP("Natural Gas", 'GHG Emissions'!$D$2:$M$66,4,FALSE)+VLOOKUP("Natural Gas", 'GHG Emissions'!$D$2:$M$66,6,FALSE)*'eGRID subregion name'!$P$3+VLOOKUP("Natural Gas", 'GHG Emissions'!$D$2:$M$66,8,FALSE)*'eGRID subregion name'!$P$4</f>
        <v>53.114800000000002</v>
      </c>
      <c r="I81" s="455">
        <f t="shared" si="12"/>
        <v>0</v>
      </c>
      <c r="J81" s="455">
        <f>'Sch4-Cost Savings by ECM'!U81</f>
        <v>0</v>
      </c>
      <c r="K8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1" s="455">
        <f t="shared" si="13"/>
        <v>0</v>
      </c>
      <c r="M81" s="455">
        <f>'Sch4-Cost Savings by ECM'!W81</f>
        <v>0</v>
      </c>
      <c r="N8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1" s="455">
        <f t="shared" si="14"/>
        <v>0</v>
      </c>
      <c r="P81" s="457">
        <f t="shared" si="11"/>
        <v>0</v>
      </c>
      <c r="Q81" s="455">
        <f>'Sch4-Cost Savings by ECM'!AA81</f>
        <v>0</v>
      </c>
      <c r="R81" s="455">
        <f t="shared" si="17"/>
        <v>0</v>
      </c>
      <c r="S81" s="455">
        <f t="shared" si="18"/>
        <v>0</v>
      </c>
      <c r="T81" s="455">
        <f t="shared" si="15"/>
        <v>0</v>
      </c>
    </row>
    <row r="82" spans="1:20" ht="17" thickBot="1">
      <c r="A82" s="75" t="str">
        <f>IF('Sch2a-Imp Price by ECM'!B83="","",'Sch2a-Imp Price by ECM'!B83)</f>
        <v/>
      </c>
      <c r="B82" s="174" t="str">
        <f>IF('Sch2a-Imp Price by ECM'!D83="","",'Sch2a-Imp Price by ECM'!D83)</f>
        <v/>
      </c>
      <c r="C82" s="458" t="s">
        <v>431</v>
      </c>
      <c r="D82" s="454">
        <f>'Sch4-Cost Savings by ECM'!O82</f>
        <v>0</v>
      </c>
      <c r="E82" s="454">
        <f>VLOOKUP(C82,'eGRID subregion name'!$A$2:$N$30,8,0)</f>
        <v>189.83531623683197</v>
      </c>
      <c r="F82" s="454">
        <f t="shared" si="16"/>
        <v>0</v>
      </c>
      <c r="G82" s="455">
        <f>'Sch4-Cost Savings by ECM'!S82</f>
        <v>0</v>
      </c>
      <c r="H82" s="455">
        <f>VLOOKUP("Natural Gas", 'GHG Emissions'!$D$2:$M$66,4,FALSE)+VLOOKUP("Natural Gas", 'GHG Emissions'!$D$2:$M$66,6,FALSE)*'eGRID subregion name'!$P$3+VLOOKUP("Natural Gas", 'GHG Emissions'!$D$2:$M$66,8,FALSE)*'eGRID subregion name'!$P$4</f>
        <v>53.114800000000002</v>
      </c>
      <c r="I82" s="455">
        <f t="shared" si="12"/>
        <v>0</v>
      </c>
      <c r="J82" s="455">
        <f>'Sch4-Cost Savings by ECM'!U82</f>
        <v>0</v>
      </c>
      <c r="K8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2" s="455">
        <f t="shared" si="13"/>
        <v>0</v>
      </c>
      <c r="M82" s="455">
        <f>'Sch4-Cost Savings by ECM'!W82</f>
        <v>0</v>
      </c>
      <c r="N8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2" s="455">
        <f t="shared" si="14"/>
        <v>0</v>
      </c>
      <c r="P82" s="457">
        <f t="shared" si="11"/>
        <v>0</v>
      </c>
      <c r="Q82" s="455">
        <f>'Sch4-Cost Savings by ECM'!AA82</f>
        <v>0</v>
      </c>
      <c r="R82" s="455">
        <f t="shared" si="17"/>
        <v>0</v>
      </c>
      <c r="S82" s="455">
        <f t="shared" si="18"/>
        <v>0</v>
      </c>
      <c r="T82" s="455">
        <f t="shared" si="15"/>
        <v>0</v>
      </c>
    </row>
    <row r="83" spans="1:20" ht="17" thickBot="1">
      <c r="A83" s="75" t="str">
        <f>IF('Sch2a-Imp Price by ECM'!B84="","",'Sch2a-Imp Price by ECM'!B84)</f>
        <v/>
      </c>
      <c r="B83" s="174" t="str">
        <f>IF('Sch2a-Imp Price by ECM'!D84="","",'Sch2a-Imp Price by ECM'!D84)</f>
        <v/>
      </c>
      <c r="C83" s="458" t="s">
        <v>431</v>
      </c>
      <c r="D83" s="454">
        <f>'Sch4-Cost Savings by ECM'!O83</f>
        <v>0</v>
      </c>
      <c r="E83" s="454">
        <f>VLOOKUP(C83,'eGRID subregion name'!$A$2:$N$30,8,0)</f>
        <v>189.83531623683197</v>
      </c>
      <c r="F83" s="454">
        <f t="shared" si="16"/>
        <v>0</v>
      </c>
      <c r="G83" s="455">
        <f>'Sch4-Cost Savings by ECM'!S83</f>
        <v>0</v>
      </c>
      <c r="H83" s="455">
        <f>VLOOKUP("Natural Gas", 'GHG Emissions'!$D$2:$M$66,4,FALSE)+VLOOKUP("Natural Gas", 'GHG Emissions'!$D$2:$M$66,6,FALSE)*'eGRID subregion name'!$P$3+VLOOKUP("Natural Gas", 'GHG Emissions'!$D$2:$M$66,8,FALSE)*'eGRID subregion name'!$P$4</f>
        <v>53.114800000000002</v>
      </c>
      <c r="I83" s="455">
        <f t="shared" si="12"/>
        <v>0</v>
      </c>
      <c r="J83" s="455">
        <f>'Sch4-Cost Savings by ECM'!U83</f>
        <v>0</v>
      </c>
      <c r="K8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3" s="455">
        <f t="shared" si="13"/>
        <v>0</v>
      </c>
      <c r="M83" s="455">
        <f>'Sch4-Cost Savings by ECM'!W83</f>
        <v>0</v>
      </c>
      <c r="N8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3" s="455">
        <f t="shared" si="14"/>
        <v>0</v>
      </c>
      <c r="P83" s="457">
        <f t="shared" si="11"/>
        <v>0</v>
      </c>
      <c r="Q83" s="455">
        <f>'Sch4-Cost Savings by ECM'!AA83</f>
        <v>0</v>
      </c>
      <c r="R83" s="455">
        <f t="shared" si="17"/>
        <v>0</v>
      </c>
      <c r="S83" s="455">
        <f t="shared" si="18"/>
        <v>0</v>
      </c>
      <c r="T83" s="455">
        <f t="shared" si="15"/>
        <v>0</v>
      </c>
    </row>
    <row r="84" spans="1:20" ht="17" thickBot="1">
      <c r="A84" s="75" t="str">
        <f>IF('Sch2a-Imp Price by ECM'!B85="","",'Sch2a-Imp Price by ECM'!B85)</f>
        <v/>
      </c>
      <c r="B84" s="174" t="str">
        <f>IF('Sch2a-Imp Price by ECM'!D85="","",'Sch2a-Imp Price by ECM'!D85)</f>
        <v/>
      </c>
      <c r="C84" s="458" t="s">
        <v>431</v>
      </c>
      <c r="D84" s="454">
        <f>'Sch4-Cost Savings by ECM'!O84</f>
        <v>0</v>
      </c>
      <c r="E84" s="454">
        <f>VLOOKUP(C84,'eGRID subregion name'!$A$2:$N$30,8,0)</f>
        <v>189.83531623683197</v>
      </c>
      <c r="F84" s="454">
        <f t="shared" si="16"/>
        <v>0</v>
      </c>
      <c r="G84" s="455">
        <f>'Sch4-Cost Savings by ECM'!S84</f>
        <v>0</v>
      </c>
      <c r="H84" s="455">
        <f>VLOOKUP("Natural Gas", 'GHG Emissions'!$D$2:$M$66,4,FALSE)+VLOOKUP("Natural Gas", 'GHG Emissions'!$D$2:$M$66,6,FALSE)*'eGRID subregion name'!$P$3+VLOOKUP("Natural Gas", 'GHG Emissions'!$D$2:$M$66,8,FALSE)*'eGRID subregion name'!$P$4</f>
        <v>53.114800000000002</v>
      </c>
      <c r="I84" s="455">
        <f t="shared" si="12"/>
        <v>0</v>
      </c>
      <c r="J84" s="455">
        <f>'Sch4-Cost Savings by ECM'!U84</f>
        <v>0</v>
      </c>
      <c r="K8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4" s="455">
        <f t="shared" si="13"/>
        <v>0</v>
      </c>
      <c r="M84" s="455">
        <f>'Sch4-Cost Savings by ECM'!W84</f>
        <v>0</v>
      </c>
      <c r="N8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4" s="455">
        <f t="shared" si="14"/>
        <v>0</v>
      </c>
      <c r="P84" s="457">
        <f t="shared" si="11"/>
        <v>0</v>
      </c>
      <c r="Q84" s="455">
        <f>'Sch4-Cost Savings by ECM'!AA84</f>
        <v>0</v>
      </c>
      <c r="R84" s="455">
        <f t="shared" si="17"/>
        <v>0</v>
      </c>
      <c r="S84" s="455">
        <f t="shared" si="18"/>
        <v>0</v>
      </c>
      <c r="T84" s="455">
        <f t="shared" si="15"/>
        <v>0</v>
      </c>
    </row>
    <row r="85" spans="1:20" ht="17" thickBot="1">
      <c r="A85" s="75" t="str">
        <f>IF('Sch2a-Imp Price by ECM'!B86="","",'Sch2a-Imp Price by ECM'!B86)</f>
        <v/>
      </c>
      <c r="B85" s="174" t="str">
        <f>IF('Sch2a-Imp Price by ECM'!D86="","",'Sch2a-Imp Price by ECM'!D86)</f>
        <v/>
      </c>
      <c r="C85" s="458" t="s">
        <v>431</v>
      </c>
      <c r="D85" s="454">
        <f>'Sch4-Cost Savings by ECM'!O85</f>
        <v>0</v>
      </c>
      <c r="E85" s="454">
        <f>VLOOKUP(C85,'eGRID subregion name'!$A$2:$N$30,8,0)</f>
        <v>189.83531623683197</v>
      </c>
      <c r="F85" s="454">
        <f t="shared" si="16"/>
        <v>0</v>
      </c>
      <c r="G85" s="455">
        <f>'Sch4-Cost Savings by ECM'!S85</f>
        <v>0</v>
      </c>
      <c r="H85" s="455">
        <f>VLOOKUP("Natural Gas", 'GHG Emissions'!$D$2:$M$66,4,FALSE)+VLOOKUP("Natural Gas", 'GHG Emissions'!$D$2:$M$66,6,FALSE)*'eGRID subregion name'!$P$3+VLOOKUP("Natural Gas", 'GHG Emissions'!$D$2:$M$66,8,FALSE)*'eGRID subregion name'!$P$4</f>
        <v>53.114800000000002</v>
      </c>
      <c r="I85" s="455">
        <f t="shared" si="12"/>
        <v>0</v>
      </c>
      <c r="J85" s="455">
        <f>'Sch4-Cost Savings by ECM'!U85</f>
        <v>0</v>
      </c>
      <c r="K8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5" s="455">
        <f t="shared" si="13"/>
        <v>0</v>
      </c>
      <c r="M85" s="455">
        <f>'Sch4-Cost Savings by ECM'!W85</f>
        <v>0</v>
      </c>
      <c r="N8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5" s="455">
        <f t="shared" si="14"/>
        <v>0</v>
      </c>
      <c r="P85" s="457">
        <f t="shared" si="11"/>
        <v>0</v>
      </c>
      <c r="Q85" s="455">
        <f>'Sch4-Cost Savings by ECM'!AA85</f>
        <v>0</v>
      </c>
      <c r="R85" s="455">
        <f t="shared" si="17"/>
        <v>0</v>
      </c>
      <c r="S85" s="455">
        <f t="shared" si="18"/>
        <v>0</v>
      </c>
      <c r="T85" s="455">
        <f t="shared" si="15"/>
        <v>0</v>
      </c>
    </row>
    <row r="86" spans="1:20" ht="17" thickBot="1">
      <c r="A86" s="75" t="str">
        <f>IF('Sch2a-Imp Price by ECM'!B87="","",'Sch2a-Imp Price by ECM'!B87)</f>
        <v/>
      </c>
      <c r="B86" s="174" t="str">
        <f>IF('Sch2a-Imp Price by ECM'!D87="","",'Sch2a-Imp Price by ECM'!D87)</f>
        <v/>
      </c>
      <c r="C86" s="458" t="s">
        <v>431</v>
      </c>
      <c r="D86" s="454">
        <f>'Sch4-Cost Savings by ECM'!O86</f>
        <v>0</v>
      </c>
      <c r="E86" s="454">
        <f>VLOOKUP(C86,'eGRID subregion name'!$A$2:$N$30,8,0)</f>
        <v>189.83531623683197</v>
      </c>
      <c r="F86" s="454">
        <f t="shared" si="16"/>
        <v>0</v>
      </c>
      <c r="G86" s="455">
        <f>'Sch4-Cost Savings by ECM'!S86</f>
        <v>0</v>
      </c>
      <c r="H86" s="455">
        <f>VLOOKUP("Natural Gas", 'GHG Emissions'!$D$2:$M$66,4,FALSE)+VLOOKUP("Natural Gas", 'GHG Emissions'!$D$2:$M$66,6,FALSE)*'eGRID subregion name'!$P$3+VLOOKUP("Natural Gas", 'GHG Emissions'!$D$2:$M$66,8,FALSE)*'eGRID subregion name'!$P$4</f>
        <v>53.114800000000002</v>
      </c>
      <c r="I86" s="455">
        <f t="shared" si="12"/>
        <v>0</v>
      </c>
      <c r="J86" s="455">
        <f>'Sch4-Cost Savings by ECM'!U86</f>
        <v>0</v>
      </c>
      <c r="K8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6" s="455">
        <f t="shared" si="13"/>
        <v>0</v>
      </c>
      <c r="M86" s="455">
        <f>'Sch4-Cost Savings by ECM'!W86</f>
        <v>0</v>
      </c>
      <c r="N8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6" s="455">
        <f t="shared" si="14"/>
        <v>0</v>
      </c>
      <c r="P86" s="457">
        <f t="shared" si="11"/>
        <v>0</v>
      </c>
      <c r="Q86" s="455">
        <f>'Sch4-Cost Savings by ECM'!AA86</f>
        <v>0</v>
      </c>
      <c r="R86" s="455">
        <f t="shared" si="17"/>
        <v>0</v>
      </c>
      <c r="S86" s="455">
        <f t="shared" si="18"/>
        <v>0</v>
      </c>
      <c r="T86" s="455">
        <f t="shared" si="15"/>
        <v>0</v>
      </c>
    </row>
    <row r="87" spans="1:20" ht="17" thickBot="1">
      <c r="A87" s="75" t="str">
        <f>IF('Sch2a-Imp Price by ECM'!B88="","",'Sch2a-Imp Price by ECM'!B88)</f>
        <v/>
      </c>
      <c r="B87" s="174" t="str">
        <f>IF('Sch2a-Imp Price by ECM'!D88="","",'Sch2a-Imp Price by ECM'!D88)</f>
        <v/>
      </c>
      <c r="C87" s="458" t="s">
        <v>431</v>
      </c>
      <c r="D87" s="454">
        <f>'Sch4-Cost Savings by ECM'!O87</f>
        <v>0</v>
      </c>
      <c r="E87" s="454">
        <f>VLOOKUP(C87,'eGRID subregion name'!$A$2:$N$30,8,0)</f>
        <v>189.83531623683197</v>
      </c>
      <c r="F87" s="454">
        <f t="shared" si="16"/>
        <v>0</v>
      </c>
      <c r="G87" s="455">
        <f>'Sch4-Cost Savings by ECM'!S87</f>
        <v>0</v>
      </c>
      <c r="H87" s="455">
        <f>VLOOKUP("Natural Gas", 'GHG Emissions'!$D$2:$M$66,4,FALSE)+VLOOKUP("Natural Gas", 'GHG Emissions'!$D$2:$M$66,6,FALSE)*'eGRID subregion name'!$P$3+VLOOKUP("Natural Gas", 'GHG Emissions'!$D$2:$M$66,8,FALSE)*'eGRID subregion name'!$P$4</f>
        <v>53.114800000000002</v>
      </c>
      <c r="I87" s="455">
        <f t="shared" si="12"/>
        <v>0</v>
      </c>
      <c r="J87" s="455">
        <f>'Sch4-Cost Savings by ECM'!U87</f>
        <v>0</v>
      </c>
      <c r="K8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7" s="455">
        <f t="shared" si="13"/>
        <v>0</v>
      </c>
      <c r="M87" s="455">
        <f>'Sch4-Cost Savings by ECM'!W87</f>
        <v>0</v>
      </c>
      <c r="N8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7" s="455">
        <f t="shared" si="14"/>
        <v>0</v>
      </c>
      <c r="P87" s="457">
        <f t="shared" si="11"/>
        <v>0</v>
      </c>
      <c r="Q87" s="455">
        <f>'Sch4-Cost Savings by ECM'!AA87</f>
        <v>0</v>
      </c>
      <c r="R87" s="455">
        <f t="shared" si="17"/>
        <v>0</v>
      </c>
      <c r="S87" s="455">
        <f t="shared" si="18"/>
        <v>0</v>
      </c>
      <c r="T87" s="455">
        <f t="shared" si="15"/>
        <v>0</v>
      </c>
    </row>
    <row r="88" spans="1:20" ht="17" thickBot="1">
      <c r="A88" s="75" t="str">
        <f>IF('Sch2a-Imp Price by ECM'!B89="","",'Sch2a-Imp Price by ECM'!B89)</f>
        <v/>
      </c>
      <c r="B88" s="174" t="str">
        <f>IF('Sch2a-Imp Price by ECM'!D89="","",'Sch2a-Imp Price by ECM'!D89)</f>
        <v/>
      </c>
      <c r="C88" s="458" t="s">
        <v>431</v>
      </c>
      <c r="D88" s="454">
        <f>'Sch4-Cost Savings by ECM'!O88</f>
        <v>0</v>
      </c>
      <c r="E88" s="454">
        <f>VLOOKUP(C88,'eGRID subregion name'!$A$2:$N$30,8,0)</f>
        <v>189.83531623683197</v>
      </c>
      <c r="F88" s="454">
        <f t="shared" si="16"/>
        <v>0</v>
      </c>
      <c r="G88" s="455">
        <f>'Sch4-Cost Savings by ECM'!S88</f>
        <v>0</v>
      </c>
      <c r="H88" s="455">
        <f>VLOOKUP("Natural Gas", 'GHG Emissions'!$D$2:$M$66,4,FALSE)+VLOOKUP("Natural Gas", 'GHG Emissions'!$D$2:$M$66,6,FALSE)*'eGRID subregion name'!$P$3+VLOOKUP("Natural Gas", 'GHG Emissions'!$D$2:$M$66,8,FALSE)*'eGRID subregion name'!$P$4</f>
        <v>53.114800000000002</v>
      </c>
      <c r="I88" s="455">
        <f t="shared" si="12"/>
        <v>0</v>
      </c>
      <c r="J88" s="455">
        <f>'Sch4-Cost Savings by ECM'!U88</f>
        <v>0</v>
      </c>
      <c r="K8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8" s="455">
        <f t="shared" si="13"/>
        <v>0</v>
      </c>
      <c r="M88" s="455">
        <f>'Sch4-Cost Savings by ECM'!W88</f>
        <v>0</v>
      </c>
      <c r="N8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8" s="455">
        <f t="shared" si="14"/>
        <v>0</v>
      </c>
      <c r="P88" s="457">
        <f t="shared" si="11"/>
        <v>0</v>
      </c>
      <c r="Q88" s="455">
        <f>'Sch4-Cost Savings by ECM'!AA88</f>
        <v>0</v>
      </c>
      <c r="R88" s="455">
        <f t="shared" si="17"/>
        <v>0</v>
      </c>
      <c r="S88" s="455">
        <f t="shared" si="18"/>
        <v>0</v>
      </c>
      <c r="T88" s="455">
        <f t="shared" si="15"/>
        <v>0</v>
      </c>
    </row>
    <row r="89" spans="1:20" ht="17" thickBot="1">
      <c r="A89" s="75" t="str">
        <f>IF('Sch2a-Imp Price by ECM'!B90="","",'Sch2a-Imp Price by ECM'!B90)</f>
        <v/>
      </c>
      <c r="B89" s="174" t="str">
        <f>IF('Sch2a-Imp Price by ECM'!D90="","",'Sch2a-Imp Price by ECM'!D90)</f>
        <v/>
      </c>
      <c r="C89" s="458" t="s">
        <v>431</v>
      </c>
      <c r="D89" s="454">
        <f>'Sch4-Cost Savings by ECM'!O89</f>
        <v>0</v>
      </c>
      <c r="E89" s="454">
        <f>VLOOKUP(C89,'eGRID subregion name'!$A$2:$N$30,8,0)</f>
        <v>189.83531623683197</v>
      </c>
      <c r="F89" s="454">
        <f t="shared" si="16"/>
        <v>0</v>
      </c>
      <c r="G89" s="455">
        <f>'Sch4-Cost Savings by ECM'!S89</f>
        <v>0</v>
      </c>
      <c r="H89" s="455">
        <f>VLOOKUP("Natural Gas", 'GHG Emissions'!$D$2:$M$66,4,FALSE)+VLOOKUP("Natural Gas", 'GHG Emissions'!$D$2:$M$66,6,FALSE)*'eGRID subregion name'!$P$3+VLOOKUP("Natural Gas", 'GHG Emissions'!$D$2:$M$66,8,FALSE)*'eGRID subregion name'!$P$4</f>
        <v>53.114800000000002</v>
      </c>
      <c r="I89" s="455">
        <f t="shared" si="12"/>
        <v>0</v>
      </c>
      <c r="J89" s="455">
        <f>'Sch4-Cost Savings by ECM'!U89</f>
        <v>0</v>
      </c>
      <c r="K8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89" s="455">
        <f t="shared" si="13"/>
        <v>0</v>
      </c>
      <c r="M89" s="455">
        <f>'Sch4-Cost Savings by ECM'!W89</f>
        <v>0</v>
      </c>
      <c r="N8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89" s="455">
        <f t="shared" si="14"/>
        <v>0</v>
      </c>
      <c r="P89" s="457">
        <f t="shared" si="11"/>
        <v>0</v>
      </c>
      <c r="Q89" s="455">
        <f>'Sch4-Cost Savings by ECM'!AA89</f>
        <v>0</v>
      </c>
      <c r="R89" s="455">
        <f t="shared" si="17"/>
        <v>0</v>
      </c>
      <c r="S89" s="455">
        <f t="shared" si="18"/>
        <v>0</v>
      </c>
      <c r="T89" s="455">
        <f t="shared" si="15"/>
        <v>0</v>
      </c>
    </row>
    <row r="90" spans="1:20" ht="17" thickBot="1">
      <c r="A90" s="75" t="str">
        <f>IF('Sch2a-Imp Price by ECM'!B91="","",'Sch2a-Imp Price by ECM'!B91)</f>
        <v/>
      </c>
      <c r="B90" s="174" t="str">
        <f>IF('Sch2a-Imp Price by ECM'!D91="","",'Sch2a-Imp Price by ECM'!D91)</f>
        <v/>
      </c>
      <c r="C90" s="458" t="s">
        <v>431</v>
      </c>
      <c r="D90" s="454">
        <f>'Sch4-Cost Savings by ECM'!O90</f>
        <v>0</v>
      </c>
      <c r="E90" s="454">
        <f>VLOOKUP(C90,'eGRID subregion name'!$A$2:$N$30,8,0)</f>
        <v>189.83531623683197</v>
      </c>
      <c r="F90" s="454">
        <f t="shared" si="16"/>
        <v>0</v>
      </c>
      <c r="G90" s="455">
        <f>'Sch4-Cost Savings by ECM'!S90</f>
        <v>0</v>
      </c>
      <c r="H90" s="455">
        <f>VLOOKUP("Natural Gas", 'GHG Emissions'!$D$2:$M$66,4,FALSE)+VLOOKUP("Natural Gas", 'GHG Emissions'!$D$2:$M$66,6,FALSE)*'eGRID subregion name'!$P$3+VLOOKUP("Natural Gas", 'GHG Emissions'!$D$2:$M$66,8,FALSE)*'eGRID subregion name'!$P$4</f>
        <v>53.114800000000002</v>
      </c>
      <c r="I90" s="455">
        <f t="shared" si="12"/>
        <v>0</v>
      </c>
      <c r="J90" s="455">
        <f>'Sch4-Cost Savings by ECM'!U90</f>
        <v>0</v>
      </c>
      <c r="K9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0" s="455">
        <f t="shared" si="13"/>
        <v>0</v>
      </c>
      <c r="M90" s="455">
        <f>'Sch4-Cost Savings by ECM'!W90</f>
        <v>0</v>
      </c>
      <c r="N9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0" s="455">
        <f t="shared" si="14"/>
        <v>0</v>
      </c>
      <c r="P90" s="457">
        <f t="shared" si="11"/>
        <v>0</v>
      </c>
      <c r="Q90" s="455">
        <f>'Sch4-Cost Savings by ECM'!AA90</f>
        <v>0</v>
      </c>
      <c r="R90" s="455">
        <f t="shared" si="17"/>
        <v>0</v>
      </c>
      <c r="S90" s="455">
        <f t="shared" si="18"/>
        <v>0</v>
      </c>
      <c r="T90" s="455">
        <f t="shared" si="15"/>
        <v>0</v>
      </c>
    </row>
    <row r="91" spans="1:20" ht="17" thickBot="1">
      <c r="A91" s="75" t="str">
        <f>IF('Sch2a-Imp Price by ECM'!B92="","",'Sch2a-Imp Price by ECM'!B92)</f>
        <v/>
      </c>
      <c r="B91" s="174" t="str">
        <f>IF('Sch2a-Imp Price by ECM'!D92="","",'Sch2a-Imp Price by ECM'!D92)</f>
        <v/>
      </c>
      <c r="C91" s="458" t="s">
        <v>431</v>
      </c>
      <c r="D91" s="454">
        <f>'Sch4-Cost Savings by ECM'!O91</f>
        <v>0</v>
      </c>
      <c r="E91" s="454">
        <f>VLOOKUP(C91,'eGRID subregion name'!$A$2:$N$30,8,0)</f>
        <v>189.83531623683197</v>
      </c>
      <c r="F91" s="454">
        <f t="shared" si="16"/>
        <v>0</v>
      </c>
      <c r="G91" s="455">
        <f>'Sch4-Cost Savings by ECM'!S91</f>
        <v>0</v>
      </c>
      <c r="H91" s="455">
        <f>VLOOKUP("Natural Gas", 'GHG Emissions'!$D$2:$M$66,4,FALSE)+VLOOKUP("Natural Gas", 'GHG Emissions'!$D$2:$M$66,6,FALSE)*'eGRID subregion name'!$P$3+VLOOKUP("Natural Gas", 'GHG Emissions'!$D$2:$M$66,8,FALSE)*'eGRID subregion name'!$P$4</f>
        <v>53.114800000000002</v>
      </c>
      <c r="I91" s="455">
        <f t="shared" si="12"/>
        <v>0</v>
      </c>
      <c r="J91" s="455">
        <f>'Sch4-Cost Savings by ECM'!U91</f>
        <v>0</v>
      </c>
      <c r="K9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1" s="455">
        <f t="shared" si="13"/>
        <v>0</v>
      </c>
      <c r="M91" s="455">
        <f>'Sch4-Cost Savings by ECM'!W91</f>
        <v>0</v>
      </c>
      <c r="N9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1" s="455">
        <f t="shared" si="14"/>
        <v>0</v>
      </c>
      <c r="P91" s="457">
        <f t="shared" si="11"/>
        <v>0</v>
      </c>
      <c r="Q91" s="455">
        <f>'Sch4-Cost Savings by ECM'!AA91</f>
        <v>0</v>
      </c>
      <c r="R91" s="455">
        <f t="shared" si="17"/>
        <v>0</v>
      </c>
      <c r="S91" s="455">
        <f t="shared" si="18"/>
        <v>0</v>
      </c>
      <c r="T91" s="455">
        <f t="shared" si="15"/>
        <v>0</v>
      </c>
    </row>
    <row r="92" spans="1:20" ht="17" thickBot="1">
      <c r="A92" s="75" t="str">
        <f>IF('Sch2a-Imp Price by ECM'!B93="","",'Sch2a-Imp Price by ECM'!B93)</f>
        <v/>
      </c>
      <c r="B92" s="174" t="str">
        <f>IF('Sch2a-Imp Price by ECM'!D93="","",'Sch2a-Imp Price by ECM'!D93)</f>
        <v/>
      </c>
      <c r="C92" s="458" t="s">
        <v>431</v>
      </c>
      <c r="D92" s="454">
        <f>'Sch4-Cost Savings by ECM'!O92</f>
        <v>0</v>
      </c>
      <c r="E92" s="454">
        <f>VLOOKUP(C92,'eGRID subregion name'!$A$2:$N$30,8,0)</f>
        <v>189.83531623683197</v>
      </c>
      <c r="F92" s="454">
        <f t="shared" si="16"/>
        <v>0</v>
      </c>
      <c r="G92" s="455">
        <f>'Sch4-Cost Savings by ECM'!S92</f>
        <v>0</v>
      </c>
      <c r="H92" s="455">
        <f>VLOOKUP("Natural Gas", 'GHG Emissions'!$D$2:$M$66,4,FALSE)+VLOOKUP("Natural Gas", 'GHG Emissions'!$D$2:$M$66,6,FALSE)*'eGRID subregion name'!$P$3+VLOOKUP("Natural Gas", 'GHG Emissions'!$D$2:$M$66,8,FALSE)*'eGRID subregion name'!$P$4</f>
        <v>53.114800000000002</v>
      </c>
      <c r="I92" s="455">
        <f t="shared" si="12"/>
        <v>0</v>
      </c>
      <c r="J92" s="455">
        <f>'Sch4-Cost Savings by ECM'!U92</f>
        <v>0</v>
      </c>
      <c r="K9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2" s="455">
        <f t="shared" si="13"/>
        <v>0</v>
      </c>
      <c r="M92" s="455">
        <f>'Sch4-Cost Savings by ECM'!W92</f>
        <v>0</v>
      </c>
      <c r="N9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2" s="455">
        <f t="shared" si="14"/>
        <v>0</v>
      </c>
      <c r="P92" s="457">
        <f t="shared" si="11"/>
        <v>0</v>
      </c>
      <c r="Q92" s="455">
        <f>'Sch4-Cost Savings by ECM'!AA92</f>
        <v>0</v>
      </c>
      <c r="R92" s="455">
        <f t="shared" si="17"/>
        <v>0</v>
      </c>
      <c r="S92" s="455">
        <f t="shared" si="18"/>
        <v>0</v>
      </c>
      <c r="T92" s="455">
        <f t="shared" si="15"/>
        <v>0</v>
      </c>
    </row>
    <row r="93" spans="1:20" ht="17" thickBot="1">
      <c r="A93" s="75" t="str">
        <f>IF('Sch2a-Imp Price by ECM'!B94="","",'Sch2a-Imp Price by ECM'!B94)</f>
        <v/>
      </c>
      <c r="B93" s="174" t="str">
        <f>IF('Sch2a-Imp Price by ECM'!D94="","",'Sch2a-Imp Price by ECM'!D94)</f>
        <v/>
      </c>
      <c r="C93" s="458" t="s">
        <v>431</v>
      </c>
      <c r="D93" s="454">
        <f>'Sch4-Cost Savings by ECM'!O93</f>
        <v>0</v>
      </c>
      <c r="E93" s="454">
        <f>VLOOKUP(C93,'eGRID subregion name'!$A$2:$N$30,8,0)</f>
        <v>189.83531623683197</v>
      </c>
      <c r="F93" s="454">
        <f t="shared" si="16"/>
        <v>0</v>
      </c>
      <c r="G93" s="455">
        <f>'Sch4-Cost Savings by ECM'!S93</f>
        <v>0</v>
      </c>
      <c r="H93" s="455">
        <f>VLOOKUP("Natural Gas", 'GHG Emissions'!$D$2:$M$66,4,FALSE)+VLOOKUP("Natural Gas", 'GHG Emissions'!$D$2:$M$66,6,FALSE)*'eGRID subregion name'!$P$3+VLOOKUP("Natural Gas", 'GHG Emissions'!$D$2:$M$66,8,FALSE)*'eGRID subregion name'!$P$4</f>
        <v>53.114800000000002</v>
      </c>
      <c r="I93" s="455">
        <f t="shared" si="12"/>
        <v>0</v>
      </c>
      <c r="J93" s="455">
        <f>'Sch4-Cost Savings by ECM'!U93</f>
        <v>0</v>
      </c>
      <c r="K9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3" s="455">
        <f t="shared" si="13"/>
        <v>0</v>
      </c>
      <c r="M93" s="455">
        <f>'Sch4-Cost Savings by ECM'!W93</f>
        <v>0</v>
      </c>
      <c r="N9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3" s="455">
        <f t="shared" si="14"/>
        <v>0</v>
      </c>
      <c r="P93" s="457">
        <f t="shared" si="11"/>
        <v>0</v>
      </c>
      <c r="Q93" s="455">
        <f>'Sch4-Cost Savings by ECM'!AA93</f>
        <v>0</v>
      </c>
      <c r="R93" s="455">
        <f t="shared" si="17"/>
        <v>0</v>
      </c>
      <c r="S93" s="455">
        <f t="shared" si="18"/>
        <v>0</v>
      </c>
      <c r="T93" s="455">
        <f t="shared" si="15"/>
        <v>0</v>
      </c>
    </row>
    <row r="94" spans="1:20" ht="17" thickBot="1">
      <c r="A94" s="75" t="str">
        <f>IF('Sch2a-Imp Price by ECM'!B95="","",'Sch2a-Imp Price by ECM'!B95)</f>
        <v/>
      </c>
      <c r="B94" s="174" t="str">
        <f>IF('Sch2a-Imp Price by ECM'!D95="","",'Sch2a-Imp Price by ECM'!D95)</f>
        <v/>
      </c>
      <c r="C94" s="458" t="s">
        <v>431</v>
      </c>
      <c r="D94" s="454">
        <f>'Sch4-Cost Savings by ECM'!O94</f>
        <v>0</v>
      </c>
      <c r="E94" s="454">
        <f>VLOOKUP(C94,'eGRID subregion name'!$A$2:$N$30,8,0)</f>
        <v>189.83531623683197</v>
      </c>
      <c r="F94" s="454">
        <f t="shared" si="16"/>
        <v>0</v>
      </c>
      <c r="G94" s="455">
        <f>'Sch4-Cost Savings by ECM'!S94</f>
        <v>0</v>
      </c>
      <c r="H94" s="455">
        <f>VLOOKUP("Natural Gas", 'GHG Emissions'!$D$2:$M$66,4,FALSE)+VLOOKUP("Natural Gas", 'GHG Emissions'!$D$2:$M$66,6,FALSE)*'eGRID subregion name'!$P$3+VLOOKUP("Natural Gas", 'GHG Emissions'!$D$2:$M$66,8,FALSE)*'eGRID subregion name'!$P$4</f>
        <v>53.114800000000002</v>
      </c>
      <c r="I94" s="455">
        <f t="shared" si="12"/>
        <v>0</v>
      </c>
      <c r="J94" s="455">
        <f>'Sch4-Cost Savings by ECM'!U94</f>
        <v>0</v>
      </c>
      <c r="K9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4" s="455">
        <f t="shared" si="13"/>
        <v>0</v>
      </c>
      <c r="M94" s="455">
        <f>'Sch4-Cost Savings by ECM'!W94</f>
        <v>0</v>
      </c>
      <c r="N9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4" s="455">
        <f t="shared" si="14"/>
        <v>0</v>
      </c>
      <c r="P94" s="457">
        <f t="shared" si="11"/>
        <v>0</v>
      </c>
      <c r="Q94" s="455">
        <f>'Sch4-Cost Savings by ECM'!AA94</f>
        <v>0</v>
      </c>
      <c r="R94" s="455">
        <f t="shared" si="17"/>
        <v>0</v>
      </c>
      <c r="S94" s="455">
        <f t="shared" si="18"/>
        <v>0</v>
      </c>
      <c r="T94" s="455">
        <f t="shared" si="15"/>
        <v>0</v>
      </c>
    </row>
    <row r="95" spans="1:20" ht="17" thickBot="1">
      <c r="A95" s="75" t="str">
        <f>IF('Sch2a-Imp Price by ECM'!B96="","",'Sch2a-Imp Price by ECM'!B96)</f>
        <v/>
      </c>
      <c r="B95" s="174" t="str">
        <f>IF('Sch2a-Imp Price by ECM'!D96="","",'Sch2a-Imp Price by ECM'!D96)</f>
        <v/>
      </c>
      <c r="C95" s="458" t="s">
        <v>431</v>
      </c>
      <c r="D95" s="454">
        <f>'Sch4-Cost Savings by ECM'!O95</f>
        <v>0</v>
      </c>
      <c r="E95" s="454">
        <f>VLOOKUP(C95,'eGRID subregion name'!$A$2:$N$30,8,0)</f>
        <v>189.83531623683197</v>
      </c>
      <c r="F95" s="454">
        <f t="shared" si="16"/>
        <v>0</v>
      </c>
      <c r="G95" s="455">
        <f>'Sch4-Cost Savings by ECM'!S95</f>
        <v>0</v>
      </c>
      <c r="H95" s="455">
        <f>VLOOKUP("Natural Gas", 'GHG Emissions'!$D$2:$M$66,4,FALSE)+VLOOKUP("Natural Gas", 'GHG Emissions'!$D$2:$M$66,6,FALSE)*'eGRID subregion name'!$P$3+VLOOKUP("Natural Gas", 'GHG Emissions'!$D$2:$M$66,8,FALSE)*'eGRID subregion name'!$P$4</f>
        <v>53.114800000000002</v>
      </c>
      <c r="I95" s="455">
        <f t="shared" si="12"/>
        <v>0</v>
      </c>
      <c r="J95" s="455">
        <f>'Sch4-Cost Savings by ECM'!U95</f>
        <v>0</v>
      </c>
      <c r="K9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5" s="455">
        <f t="shared" si="13"/>
        <v>0</v>
      </c>
      <c r="M95" s="455">
        <f>'Sch4-Cost Savings by ECM'!W95</f>
        <v>0</v>
      </c>
      <c r="N9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5" s="455">
        <f t="shared" si="14"/>
        <v>0</v>
      </c>
      <c r="P95" s="457">
        <f t="shared" si="11"/>
        <v>0</v>
      </c>
      <c r="Q95" s="455">
        <f>'Sch4-Cost Savings by ECM'!AA95</f>
        <v>0</v>
      </c>
      <c r="R95" s="455">
        <f t="shared" si="17"/>
        <v>0</v>
      </c>
      <c r="S95" s="455">
        <f t="shared" si="18"/>
        <v>0</v>
      </c>
      <c r="T95" s="455">
        <f t="shared" si="15"/>
        <v>0</v>
      </c>
    </row>
    <row r="96" spans="1:20" ht="17" thickBot="1">
      <c r="A96" s="75" t="str">
        <f>IF('Sch2a-Imp Price by ECM'!B97="","",'Sch2a-Imp Price by ECM'!B97)</f>
        <v/>
      </c>
      <c r="B96" s="174" t="str">
        <f>IF('Sch2a-Imp Price by ECM'!D97="","",'Sch2a-Imp Price by ECM'!D97)</f>
        <v/>
      </c>
      <c r="C96" s="458" t="s">
        <v>431</v>
      </c>
      <c r="D96" s="454">
        <f>'Sch4-Cost Savings by ECM'!O96</f>
        <v>0</v>
      </c>
      <c r="E96" s="454">
        <f>VLOOKUP(C96,'eGRID subregion name'!$A$2:$N$30,8,0)</f>
        <v>189.83531623683197</v>
      </c>
      <c r="F96" s="454">
        <f t="shared" si="16"/>
        <v>0</v>
      </c>
      <c r="G96" s="455">
        <f>'Sch4-Cost Savings by ECM'!S96</f>
        <v>0</v>
      </c>
      <c r="H96" s="455">
        <f>VLOOKUP("Natural Gas", 'GHG Emissions'!$D$2:$M$66,4,FALSE)+VLOOKUP("Natural Gas", 'GHG Emissions'!$D$2:$M$66,6,FALSE)*'eGRID subregion name'!$P$3+VLOOKUP("Natural Gas", 'GHG Emissions'!$D$2:$M$66,8,FALSE)*'eGRID subregion name'!$P$4</f>
        <v>53.114800000000002</v>
      </c>
      <c r="I96" s="455">
        <f t="shared" si="12"/>
        <v>0</v>
      </c>
      <c r="J96" s="455">
        <f>'Sch4-Cost Savings by ECM'!U96</f>
        <v>0</v>
      </c>
      <c r="K9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6" s="455">
        <f t="shared" si="13"/>
        <v>0</v>
      </c>
      <c r="M96" s="455">
        <f>'Sch4-Cost Savings by ECM'!W96</f>
        <v>0</v>
      </c>
      <c r="N9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6" s="455">
        <f t="shared" si="14"/>
        <v>0</v>
      </c>
      <c r="P96" s="457">
        <f t="shared" si="11"/>
        <v>0</v>
      </c>
      <c r="Q96" s="455">
        <f>'Sch4-Cost Savings by ECM'!AA96</f>
        <v>0</v>
      </c>
      <c r="R96" s="455">
        <f t="shared" si="17"/>
        <v>0</v>
      </c>
      <c r="S96" s="455">
        <f t="shared" si="18"/>
        <v>0</v>
      </c>
      <c r="T96" s="455">
        <f t="shared" si="15"/>
        <v>0</v>
      </c>
    </row>
    <row r="97" spans="1:20" ht="18" customHeight="1" thickBot="1">
      <c r="A97" s="75" t="str">
        <f>IF('Sch2a-Imp Price by ECM'!B98="","",'Sch2a-Imp Price by ECM'!B98)</f>
        <v/>
      </c>
      <c r="B97" s="174" t="str">
        <f>IF('Sch2a-Imp Price by ECM'!D98="","",'Sch2a-Imp Price by ECM'!D98)</f>
        <v/>
      </c>
      <c r="C97" s="458" t="s">
        <v>431</v>
      </c>
      <c r="D97" s="454">
        <f>'Sch4-Cost Savings by ECM'!O97</f>
        <v>0</v>
      </c>
      <c r="E97" s="454">
        <f>VLOOKUP(C97,'eGRID subregion name'!$A$2:$N$30,8,0)</f>
        <v>189.83531623683197</v>
      </c>
      <c r="F97" s="454">
        <f t="shared" si="16"/>
        <v>0</v>
      </c>
      <c r="G97" s="455">
        <f>'Sch4-Cost Savings by ECM'!S97</f>
        <v>0</v>
      </c>
      <c r="H97" s="455">
        <f>VLOOKUP("Natural Gas", 'GHG Emissions'!$D$2:$M$66,4,FALSE)+VLOOKUP("Natural Gas", 'GHG Emissions'!$D$2:$M$66,6,FALSE)*'eGRID subregion name'!$P$3+VLOOKUP("Natural Gas", 'GHG Emissions'!$D$2:$M$66,8,FALSE)*'eGRID subregion name'!$P$4</f>
        <v>53.114800000000002</v>
      </c>
      <c r="I97" s="455">
        <f t="shared" si="12"/>
        <v>0</v>
      </c>
      <c r="J97" s="455">
        <f>'Sch4-Cost Savings by ECM'!U97</f>
        <v>0</v>
      </c>
      <c r="K9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7" s="455">
        <f t="shared" si="13"/>
        <v>0</v>
      </c>
      <c r="M97" s="455">
        <f>'Sch4-Cost Savings by ECM'!W97</f>
        <v>0</v>
      </c>
      <c r="N9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7" s="455">
        <f t="shared" si="14"/>
        <v>0</v>
      </c>
      <c r="P97" s="457">
        <f t="shared" si="11"/>
        <v>0</v>
      </c>
      <c r="Q97" s="455">
        <f>'Sch4-Cost Savings by ECM'!AA97</f>
        <v>0</v>
      </c>
      <c r="R97" s="455">
        <f t="shared" si="17"/>
        <v>0</v>
      </c>
      <c r="S97" s="455">
        <f t="shared" si="18"/>
        <v>0</v>
      </c>
      <c r="T97" s="455">
        <f t="shared" si="15"/>
        <v>0</v>
      </c>
    </row>
    <row r="98" spans="1:20" ht="17" thickBot="1">
      <c r="A98" s="75" t="str">
        <f>IF('Sch2a-Imp Price by ECM'!B99="","",'Sch2a-Imp Price by ECM'!B99)</f>
        <v/>
      </c>
      <c r="B98" s="174" t="str">
        <f>IF('Sch2a-Imp Price by ECM'!D99="","",'Sch2a-Imp Price by ECM'!D99)</f>
        <v/>
      </c>
      <c r="C98" s="458" t="s">
        <v>431</v>
      </c>
      <c r="D98" s="454">
        <f>'Sch4-Cost Savings by ECM'!O98</f>
        <v>0</v>
      </c>
      <c r="E98" s="454">
        <f>VLOOKUP(C98,'eGRID subregion name'!$A$2:$N$30,8,0)</f>
        <v>189.83531623683197</v>
      </c>
      <c r="F98" s="454">
        <f t="shared" si="16"/>
        <v>0</v>
      </c>
      <c r="G98" s="455">
        <f>'Sch4-Cost Savings by ECM'!S98</f>
        <v>0</v>
      </c>
      <c r="H98" s="455">
        <f>VLOOKUP("Natural Gas", 'GHG Emissions'!$D$2:$M$66,4,FALSE)+VLOOKUP("Natural Gas", 'GHG Emissions'!$D$2:$M$66,6,FALSE)*'eGRID subregion name'!$P$3+VLOOKUP("Natural Gas", 'GHG Emissions'!$D$2:$M$66,8,FALSE)*'eGRID subregion name'!$P$4</f>
        <v>53.114800000000002</v>
      </c>
      <c r="I98" s="455">
        <f t="shared" si="12"/>
        <v>0</v>
      </c>
      <c r="J98" s="455">
        <f>'Sch4-Cost Savings by ECM'!U98</f>
        <v>0</v>
      </c>
      <c r="K9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8" s="455">
        <f t="shared" si="13"/>
        <v>0</v>
      </c>
      <c r="M98" s="455">
        <f>'Sch4-Cost Savings by ECM'!W98</f>
        <v>0</v>
      </c>
      <c r="N9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8" s="455">
        <f t="shared" si="14"/>
        <v>0</v>
      </c>
      <c r="P98" s="457">
        <f t="shared" si="11"/>
        <v>0</v>
      </c>
      <c r="Q98" s="455">
        <f>'Sch4-Cost Savings by ECM'!AA98</f>
        <v>0</v>
      </c>
      <c r="R98" s="455">
        <f t="shared" si="17"/>
        <v>0</v>
      </c>
      <c r="S98" s="455">
        <f t="shared" si="18"/>
        <v>0</v>
      </c>
      <c r="T98" s="455">
        <f t="shared" si="15"/>
        <v>0</v>
      </c>
    </row>
    <row r="99" spans="1:20" ht="17" thickBot="1">
      <c r="A99" s="75" t="str">
        <f>IF('Sch2a-Imp Price by ECM'!B100="","",'Sch2a-Imp Price by ECM'!B100)</f>
        <v/>
      </c>
      <c r="B99" s="174" t="str">
        <f>IF('Sch2a-Imp Price by ECM'!D100="","",'Sch2a-Imp Price by ECM'!D100)</f>
        <v/>
      </c>
      <c r="C99" s="458" t="s">
        <v>431</v>
      </c>
      <c r="D99" s="454">
        <f>'Sch4-Cost Savings by ECM'!O99</f>
        <v>0</v>
      </c>
      <c r="E99" s="454">
        <f>VLOOKUP(C99,'eGRID subregion name'!$A$2:$N$30,8,0)</f>
        <v>189.83531623683197</v>
      </c>
      <c r="F99" s="454">
        <f t="shared" si="16"/>
        <v>0</v>
      </c>
      <c r="G99" s="455">
        <f>'Sch4-Cost Savings by ECM'!S99</f>
        <v>0</v>
      </c>
      <c r="H99" s="455">
        <f>VLOOKUP("Natural Gas", 'GHG Emissions'!$D$2:$M$66,4,FALSE)+VLOOKUP("Natural Gas", 'GHG Emissions'!$D$2:$M$66,6,FALSE)*'eGRID subregion name'!$P$3+VLOOKUP("Natural Gas", 'GHG Emissions'!$D$2:$M$66,8,FALSE)*'eGRID subregion name'!$P$4</f>
        <v>53.114800000000002</v>
      </c>
      <c r="I99" s="455">
        <f t="shared" si="12"/>
        <v>0</v>
      </c>
      <c r="J99" s="455">
        <f>'Sch4-Cost Savings by ECM'!U99</f>
        <v>0</v>
      </c>
      <c r="K9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99" s="455">
        <f t="shared" si="13"/>
        <v>0</v>
      </c>
      <c r="M99" s="455">
        <f>'Sch4-Cost Savings by ECM'!W99</f>
        <v>0</v>
      </c>
      <c r="N9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99" s="455">
        <f t="shared" si="14"/>
        <v>0</v>
      </c>
      <c r="P99" s="457">
        <f t="shared" si="11"/>
        <v>0</v>
      </c>
      <c r="Q99" s="455">
        <f>'Sch4-Cost Savings by ECM'!AA99</f>
        <v>0</v>
      </c>
      <c r="R99" s="455">
        <f t="shared" si="17"/>
        <v>0</v>
      </c>
      <c r="S99" s="455">
        <f t="shared" si="18"/>
        <v>0</v>
      </c>
      <c r="T99" s="455">
        <f t="shared" si="15"/>
        <v>0</v>
      </c>
    </row>
    <row r="100" spans="1:20" ht="17" thickBot="1">
      <c r="A100" s="75" t="str">
        <f>IF('Sch2a-Imp Price by ECM'!B101="","",'Sch2a-Imp Price by ECM'!B101)</f>
        <v/>
      </c>
      <c r="B100" s="174" t="str">
        <f>IF('Sch2a-Imp Price by ECM'!D101="","",'Sch2a-Imp Price by ECM'!D101)</f>
        <v/>
      </c>
      <c r="C100" s="458" t="s">
        <v>431</v>
      </c>
      <c r="D100" s="454">
        <f>'Sch4-Cost Savings by ECM'!O100</f>
        <v>0</v>
      </c>
      <c r="E100" s="454">
        <f>VLOOKUP(C100,'eGRID subregion name'!$A$2:$N$30,8,0)</f>
        <v>189.83531623683197</v>
      </c>
      <c r="F100" s="454">
        <f t="shared" si="16"/>
        <v>0</v>
      </c>
      <c r="G100" s="455">
        <f>'Sch4-Cost Savings by ECM'!S100</f>
        <v>0</v>
      </c>
      <c r="H100" s="455">
        <f>VLOOKUP("Natural Gas", 'GHG Emissions'!$D$2:$M$66,4,FALSE)+VLOOKUP("Natural Gas", 'GHG Emissions'!$D$2:$M$66,6,FALSE)*'eGRID subregion name'!$P$3+VLOOKUP("Natural Gas", 'GHG Emissions'!$D$2:$M$66,8,FALSE)*'eGRID subregion name'!$P$4</f>
        <v>53.114800000000002</v>
      </c>
      <c r="I100" s="455">
        <f t="shared" si="12"/>
        <v>0</v>
      </c>
      <c r="J100" s="455">
        <f>'Sch4-Cost Savings by ECM'!U100</f>
        <v>0</v>
      </c>
      <c r="K10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0" s="455">
        <f t="shared" si="13"/>
        <v>0</v>
      </c>
      <c r="M100" s="455">
        <f>'Sch4-Cost Savings by ECM'!W100</f>
        <v>0</v>
      </c>
      <c r="N10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0" s="455">
        <f t="shared" si="14"/>
        <v>0</v>
      </c>
      <c r="P100" s="457">
        <f t="shared" si="11"/>
        <v>0</v>
      </c>
      <c r="Q100" s="455">
        <f>'Sch4-Cost Savings by ECM'!AA100</f>
        <v>0</v>
      </c>
      <c r="R100" s="455">
        <f t="shared" si="17"/>
        <v>0</v>
      </c>
      <c r="S100" s="455">
        <f t="shared" si="18"/>
        <v>0</v>
      </c>
      <c r="T100" s="455">
        <f t="shared" si="15"/>
        <v>0</v>
      </c>
    </row>
    <row r="101" spans="1:20" ht="17" thickBot="1">
      <c r="A101" s="75" t="str">
        <f>IF('Sch2a-Imp Price by ECM'!B102="","",'Sch2a-Imp Price by ECM'!B102)</f>
        <v/>
      </c>
      <c r="B101" s="174" t="str">
        <f>IF('Sch2a-Imp Price by ECM'!D102="","",'Sch2a-Imp Price by ECM'!D102)</f>
        <v/>
      </c>
      <c r="C101" s="458" t="s">
        <v>431</v>
      </c>
      <c r="D101" s="454">
        <f>'Sch4-Cost Savings by ECM'!O101</f>
        <v>0</v>
      </c>
      <c r="E101" s="454">
        <f>VLOOKUP(C101,'eGRID subregion name'!$A$2:$N$30,8,0)</f>
        <v>189.83531623683197</v>
      </c>
      <c r="F101" s="454">
        <f t="shared" si="16"/>
        <v>0</v>
      </c>
      <c r="G101" s="455">
        <f>'Sch4-Cost Savings by ECM'!S101</f>
        <v>0</v>
      </c>
      <c r="H101" s="455">
        <f>VLOOKUP("Natural Gas", 'GHG Emissions'!$D$2:$M$66,4,FALSE)+VLOOKUP("Natural Gas", 'GHG Emissions'!$D$2:$M$66,6,FALSE)*'eGRID subregion name'!$P$3+VLOOKUP("Natural Gas", 'GHG Emissions'!$D$2:$M$66,8,FALSE)*'eGRID subregion name'!$P$4</f>
        <v>53.114800000000002</v>
      </c>
      <c r="I101" s="455">
        <f t="shared" si="12"/>
        <v>0</v>
      </c>
      <c r="J101" s="455">
        <f>'Sch4-Cost Savings by ECM'!U101</f>
        <v>0</v>
      </c>
      <c r="K10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1" s="455">
        <f t="shared" si="13"/>
        <v>0</v>
      </c>
      <c r="M101" s="455">
        <f>'Sch4-Cost Savings by ECM'!W101</f>
        <v>0</v>
      </c>
      <c r="N10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1" s="455">
        <f t="shared" si="14"/>
        <v>0</v>
      </c>
      <c r="P101" s="457">
        <f t="shared" si="11"/>
        <v>0</v>
      </c>
      <c r="Q101" s="455">
        <f>'Sch4-Cost Savings by ECM'!AA101</f>
        <v>0</v>
      </c>
      <c r="R101" s="455">
        <f t="shared" si="17"/>
        <v>0</v>
      </c>
      <c r="S101" s="455">
        <f t="shared" si="18"/>
        <v>0</v>
      </c>
      <c r="T101" s="455">
        <f t="shared" si="15"/>
        <v>0</v>
      </c>
    </row>
    <row r="102" spans="1:20" ht="17" thickBot="1">
      <c r="A102" s="75" t="str">
        <f>IF('Sch2a-Imp Price by ECM'!B103="","",'Sch2a-Imp Price by ECM'!B103)</f>
        <v/>
      </c>
      <c r="B102" s="174" t="str">
        <f>IF('Sch2a-Imp Price by ECM'!D103="","",'Sch2a-Imp Price by ECM'!D103)</f>
        <v/>
      </c>
      <c r="C102" s="458" t="s">
        <v>431</v>
      </c>
      <c r="D102" s="454">
        <f>'Sch4-Cost Savings by ECM'!O102</f>
        <v>0</v>
      </c>
      <c r="E102" s="454">
        <f>VLOOKUP(C102,'eGRID subregion name'!$A$2:$N$30,8,0)</f>
        <v>189.83531623683197</v>
      </c>
      <c r="F102" s="454">
        <f t="shared" si="16"/>
        <v>0</v>
      </c>
      <c r="G102" s="455">
        <f>'Sch4-Cost Savings by ECM'!S102</f>
        <v>0</v>
      </c>
      <c r="H102" s="455">
        <f>VLOOKUP("Natural Gas", 'GHG Emissions'!$D$2:$M$66,4,FALSE)+VLOOKUP("Natural Gas", 'GHG Emissions'!$D$2:$M$66,6,FALSE)*'eGRID subregion name'!$P$3+VLOOKUP("Natural Gas", 'GHG Emissions'!$D$2:$M$66,8,FALSE)*'eGRID subregion name'!$P$4</f>
        <v>53.114800000000002</v>
      </c>
      <c r="I102" s="455">
        <f t="shared" si="12"/>
        <v>0</v>
      </c>
      <c r="J102" s="455">
        <f>'Sch4-Cost Savings by ECM'!U102</f>
        <v>0</v>
      </c>
      <c r="K10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2" s="455">
        <f t="shared" si="13"/>
        <v>0</v>
      </c>
      <c r="M102" s="455">
        <f>'Sch4-Cost Savings by ECM'!W102</f>
        <v>0</v>
      </c>
      <c r="N10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2" s="455">
        <f t="shared" si="14"/>
        <v>0</v>
      </c>
      <c r="P102" s="457">
        <f t="shared" si="11"/>
        <v>0</v>
      </c>
      <c r="Q102" s="455">
        <f>'Sch4-Cost Savings by ECM'!AA102</f>
        <v>0</v>
      </c>
      <c r="R102" s="455">
        <f t="shared" si="17"/>
        <v>0</v>
      </c>
      <c r="S102" s="455">
        <f t="shared" si="18"/>
        <v>0</v>
      </c>
      <c r="T102" s="455">
        <f t="shared" si="15"/>
        <v>0</v>
      </c>
    </row>
    <row r="103" spans="1:20" ht="17" thickBot="1">
      <c r="A103" s="75" t="str">
        <f>IF('Sch2a-Imp Price by ECM'!B104="","",'Sch2a-Imp Price by ECM'!B104)</f>
        <v/>
      </c>
      <c r="B103" s="174" t="str">
        <f>IF('Sch2a-Imp Price by ECM'!D104="","",'Sch2a-Imp Price by ECM'!D104)</f>
        <v/>
      </c>
      <c r="C103" s="458" t="s">
        <v>431</v>
      </c>
      <c r="D103" s="454">
        <f>'Sch4-Cost Savings by ECM'!O103</f>
        <v>0</v>
      </c>
      <c r="E103" s="454">
        <f>VLOOKUP(C103,'eGRID subregion name'!$A$2:$N$30,8,0)</f>
        <v>189.83531623683197</v>
      </c>
      <c r="F103" s="454">
        <f t="shared" si="16"/>
        <v>0</v>
      </c>
      <c r="G103" s="455">
        <f>'Sch4-Cost Savings by ECM'!S103</f>
        <v>0</v>
      </c>
      <c r="H103" s="455">
        <f>VLOOKUP("Natural Gas", 'GHG Emissions'!$D$2:$M$66,4,FALSE)+VLOOKUP("Natural Gas", 'GHG Emissions'!$D$2:$M$66,6,FALSE)*'eGRID subregion name'!$P$3+VLOOKUP("Natural Gas", 'GHG Emissions'!$D$2:$M$66,8,FALSE)*'eGRID subregion name'!$P$4</f>
        <v>53.114800000000002</v>
      </c>
      <c r="I103" s="455">
        <f t="shared" si="12"/>
        <v>0</v>
      </c>
      <c r="J103" s="455">
        <f>'Sch4-Cost Savings by ECM'!U103</f>
        <v>0</v>
      </c>
      <c r="K10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3" s="455">
        <f t="shared" si="13"/>
        <v>0</v>
      </c>
      <c r="M103" s="455">
        <f>'Sch4-Cost Savings by ECM'!W103</f>
        <v>0</v>
      </c>
      <c r="N10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3" s="455">
        <f t="shared" si="14"/>
        <v>0</v>
      </c>
      <c r="P103" s="457">
        <f t="shared" si="11"/>
        <v>0</v>
      </c>
      <c r="Q103" s="455">
        <f>'Sch4-Cost Savings by ECM'!AA103</f>
        <v>0</v>
      </c>
      <c r="R103" s="455">
        <f t="shared" si="17"/>
        <v>0</v>
      </c>
      <c r="S103" s="455">
        <f t="shared" si="18"/>
        <v>0</v>
      </c>
      <c r="T103" s="455">
        <f t="shared" si="15"/>
        <v>0</v>
      </c>
    </row>
    <row r="104" spans="1:20" ht="17" thickBot="1">
      <c r="A104" s="75" t="str">
        <f>IF('Sch2a-Imp Price by ECM'!B105="","",'Sch2a-Imp Price by ECM'!B105)</f>
        <v/>
      </c>
      <c r="B104" s="174" t="str">
        <f>IF('Sch2a-Imp Price by ECM'!D105="","",'Sch2a-Imp Price by ECM'!D105)</f>
        <v/>
      </c>
      <c r="C104" s="458" t="s">
        <v>431</v>
      </c>
      <c r="D104" s="454">
        <f>'Sch4-Cost Savings by ECM'!O104</f>
        <v>0</v>
      </c>
      <c r="E104" s="454">
        <f>VLOOKUP(C104,'eGRID subregion name'!$A$2:$N$30,8,0)</f>
        <v>189.83531623683197</v>
      </c>
      <c r="F104" s="454">
        <f t="shared" si="16"/>
        <v>0</v>
      </c>
      <c r="G104" s="455">
        <f>'Sch4-Cost Savings by ECM'!S104</f>
        <v>0</v>
      </c>
      <c r="H104" s="455">
        <f>VLOOKUP("Natural Gas", 'GHG Emissions'!$D$2:$M$66,4,FALSE)+VLOOKUP("Natural Gas", 'GHG Emissions'!$D$2:$M$66,6,FALSE)*'eGRID subregion name'!$P$3+VLOOKUP("Natural Gas", 'GHG Emissions'!$D$2:$M$66,8,FALSE)*'eGRID subregion name'!$P$4</f>
        <v>53.114800000000002</v>
      </c>
      <c r="I104" s="455">
        <f t="shared" si="12"/>
        <v>0</v>
      </c>
      <c r="J104" s="455">
        <f>'Sch4-Cost Savings by ECM'!U104</f>
        <v>0</v>
      </c>
      <c r="K10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4" s="455">
        <f t="shared" si="13"/>
        <v>0</v>
      </c>
      <c r="M104" s="455">
        <f>'Sch4-Cost Savings by ECM'!W104</f>
        <v>0</v>
      </c>
      <c r="N10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4" s="455">
        <f t="shared" si="14"/>
        <v>0</v>
      </c>
      <c r="P104" s="457">
        <f t="shared" si="11"/>
        <v>0</v>
      </c>
      <c r="Q104" s="455">
        <f>'Sch4-Cost Savings by ECM'!AA104</f>
        <v>0</v>
      </c>
      <c r="R104" s="455">
        <f t="shared" si="17"/>
        <v>0</v>
      </c>
      <c r="S104" s="455">
        <f t="shared" si="18"/>
        <v>0</v>
      </c>
      <c r="T104" s="455">
        <f t="shared" si="15"/>
        <v>0</v>
      </c>
    </row>
    <row r="105" spans="1:20" ht="17" thickBot="1">
      <c r="A105" s="75" t="str">
        <f>IF('Sch2a-Imp Price by ECM'!B106="","",'Sch2a-Imp Price by ECM'!B106)</f>
        <v/>
      </c>
      <c r="B105" s="174" t="str">
        <f>IF('Sch2a-Imp Price by ECM'!D106="","",'Sch2a-Imp Price by ECM'!D106)</f>
        <v/>
      </c>
      <c r="C105" s="458" t="s">
        <v>431</v>
      </c>
      <c r="D105" s="454">
        <f>'Sch4-Cost Savings by ECM'!O105</f>
        <v>0</v>
      </c>
      <c r="E105" s="454">
        <f>VLOOKUP(C105,'eGRID subregion name'!$A$2:$N$30,8,0)</f>
        <v>189.83531623683197</v>
      </c>
      <c r="F105" s="454">
        <f t="shared" si="16"/>
        <v>0</v>
      </c>
      <c r="G105" s="455">
        <f>'Sch4-Cost Savings by ECM'!S105</f>
        <v>0</v>
      </c>
      <c r="H105" s="455">
        <f>VLOOKUP("Natural Gas", 'GHG Emissions'!$D$2:$M$66,4,FALSE)+VLOOKUP("Natural Gas", 'GHG Emissions'!$D$2:$M$66,6,FALSE)*'eGRID subregion name'!$P$3+VLOOKUP("Natural Gas", 'GHG Emissions'!$D$2:$M$66,8,FALSE)*'eGRID subregion name'!$P$4</f>
        <v>53.114800000000002</v>
      </c>
      <c r="I105" s="455">
        <f t="shared" si="12"/>
        <v>0</v>
      </c>
      <c r="J105" s="455">
        <f>'Sch4-Cost Savings by ECM'!U105</f>
        <v>0</v>
      </c>
      <c r="K10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5" s="455">
        <f t="shared" si="13"/>
        <v>0</v>
      </c>
      <c r="M105" s="455">
        <f>'Sch4-Cost Savings by ECM'!W105</f>
        <v>0</v>
      </c>
      <c r="N10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5" s="455">
        <f t="shared" si="14"/>
        <v>0</v>
      </c>
      <c r="P105" s="457">
        <f t="shared" si="11"/>
        <v>0</v>
      </c>
      <c r="Q105" s="455">
        <f>'Sch4-Cost Savings by ECM'!AA105</f>
        <v>0</v>
      </c>
      <c r="R105" s="455">
        <f t="shared" si="17"/>
        <v>0</v>
      </c>
      <c r="S105" s="455">
        <f t="shared" si="18"/>
        <v>0</v>
      </c>
      <c r="T105" s="455">
        <f t="shared" si="15"/>
        <v>0</v>
      </c>
    </row>
    <row r="106" spans="1:20" ht="17" thickBot="1">
      <c r="A106" s="75" t="str">
        <f>IF('Sch2a-Imp Price by ECM'!B107="","",'Sch2a-Imp Price by ECM'!B107)</f>
        <v/>
      </c>
      <c r="B106" s="174" t="str">
        <f>IF('Sch2a-Imp Price by ECM'!D107="","",'Sch2a-Imp Price by ECM'!D107)</f>
        <v/>
      </c>
      <c r="C106" s="458" t="s">
        <v>431</v>
      </c>
      <c r="D106" s="454">
        <f>'Sch4-Cost Savings by ECM'!O106</f>
        <v>0</v>
      </c>
      <c r="E106" s="454">
        <f>VLOOKUP(C106,'eGRID subregion name'!$A$2:$N$30,8,0)</f>
        <v>189.83531623683197</v>
      </c>
      <c r="F106" s="454">
        <f t="shared" si="16"/>
        <v>0</v>
      </c>
      <c r="G106" s="455">
        <f>'Sch4-Cost Savings by ECM'!S106</f>
        <v>0</v>
      </c>
      <c r="H106" s="455">
        <f>VLOOKUP("Natural Gas", 'GHG Emissions'!$D$2:$M$66,4,FALSE)+VLOOKUP("Natural Gas", 'GHG Emissions'!$D$2:$M$66,6,FALSE)*'eGRID subregion name'!$P$3+VLOOKUP("Natural Gas", 'GHG Emissions'!$D$2:$M$66,8,FALSE)*'eGRID subregion name'!$P$4</f>
        <v>53.114800000000002</v>
      </c>
      <c r="I106" s="455">
        <f t="shared" si="12"/>
        <v>0</v>
      </c>
      <c r="J106" s="455">
        <f>'Sch4-Cost Savings by ECM'!U106</f>
        <v>0</v>
      </c>
      <c r="K10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6" s="455">
        <f t="shared" si="13"/>
        <v>0</v>
      </c>
      <c r="M106" s="455">
        <f>'Sch4-Cost Savings by ECM'!W106</f>
        <v>0</v>
      </c>
      <c r="N10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6" s="455">
        <f t="shared" si="14"/>
        <v>0</v>
      </c>
      <c r="P106" s="457">
        <f t="shared" si="11"/>
        <v>0</v>
      </c>
      <c r="Q106" s="455">
        <f>'Sch4-Cost Savings by ECM'!AA106</f>
        <v>0</v>
      </c>
      <c r="R106" s="455">
        <f t="shared" si="17"/>
        <v>0</v>
      </c>
      <c r="S106" s="455">
        <f t="shared" si="18"/>
        <v>0</v>
      </c>
      <c r="T106" s="455">
        <f t="shared" si="15"/>
        <v>0</v>
      </c>
    </row>
    <row r="107" spans="1:20" ht="17" thickBot="1">
      <c r="A107" s="75" t="str">
        <f>IF('Sch2a-Imp Price by ECM'!B108="","",'Sch2a-Imp Price by ECM'!B108)</f>
        <v/>
      </c>
      <c r="B107" s="174" t="str">
        <f>IF('Sch2a-Imp Price by ECM'!D108="","",'Sch2a-Imp Price by ECM'!D108)</f>
        <v/>
      </c>
      <c r="C107" s="458" t="s">
        <v>431</v>
      </c>
      <c r="D107" s="454">
        <f>'Sch4-Cost Savings by ECM'!O107</f>
        <v>0</v>
      </c>
      <c r="E107" s="454">
        <f>VLOOKUP(C107,'eGRID subregion name'!$A$2:$N$30,8,0)</f>
        <v>189.83531623683197</v>
      </c>
      <c r="F107" s="454">
        <f t="shared" si="16"/>
        <v>0</v>
      </c>
      <c r="G107" s="455">
        <f>'Sch4-Cost Savings by ECM'!S107</f>
        <v>0</v>
      </c>
      <c r="H107" s="455">
        <f>VLOOKUP("Natural Gas", 'GHG Emissions'!$D$2:$M$66,4,FALSE)+VLOOKUP("Natural Gas", 'GHG Emissions'!$D$2:$M$66,6,FALSE)*'eGRID subregion name'!$P$3+VLOOKUP("Natural Gas", 'GHG Emissions'!$D$2:$M$66,8,FALSE)*'eGRID subregion name'!$P$4</f>
        <v>53.114800000000002</v>
      </c>
      <c r="I107" s="455">
        <f t="shared" si="12"/>
        <v>0</v>
      </c>
      <c r="J107" s="455">
        <f>'Sch4-Cost Savings by ECM'!U107</f>
        <v>0</v>
      </c>
      <c r="K10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7" s="455">
        <f t="shared" si="13"/>
        <v>0</v>
      </c>
      <c r="M107" s="455">
        <f>'Sch4-Cost Savings by ECM'!W107</f>
        <v>0</v>
      </c>
      <c r="N10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7" s="455">
        <f t="shared" si="14"/>
        <v>0</v>
      </c>
      <c r="P107" s="457">
        <f t="shared" si="11"/>
        <v>0</v>
      </c>
      <c r="Q107" s="455">
        <f>'Sch4-Cost Savings by ECM'!AA107</f>
        <v>0</v>
      </c>
      <c r="R107" s="455">
        <f t="shared" si="17"/>
        <v>0</v>
      </c>
      <c r="S107" s="455">
        <f t="shared" si="18"/>
        <v>0</v>
      </c>
      <c r="T107" s="455">
        <f t="shared" si="15"/>
        <v>0</v>
      </c>
    </row>
    <row r="108" spans="1:20" ht="17" thickBot="1">
      <c r="A108" s="75" t="str">
        <f>IF('Sch2a-Imp Price by ECM'!B109="","",'Sch2a-Imp Price by ECM'!B109)</f>
        <v/>
      </c>
      <c r="B108" s="174" t="str">
        <f>IF('Sch2a-Imp Price by ECM'!D109="","",'Sch2a-Imp Price by ECM'!D109)</f>
        <v/>
      </c>
      <c r="C108" s="458" t="s">
        <v>431</v>
      </c>
      <c r="D108" s="454">
        <f>'Sch4-Cost Savings by ECM'!O108</f>
        <v>0</v>
      </c>
      <c r="E108" s="454">
        <f>VLOOKUP(C108,'eGRID subregion name'!$A$2:$N$30,8,0)</f>
        <v>189.83531623683197</v>
      </c>
      <c r="F108" s="454">
        <f t="shared" si="16"/>
        <v>0</v>
      </c>
      <c r="G108" s="455">
        <f>'Sch4-Cost Savings by ECM'!S108</f>
        <v>0</v>
      </c>
      <c r="H108" s="455">
        <f>VLOOKUP("Natural Gas", 'GHG Emissions'!$D$2:$M$66,4,FALSE)+VLOOKUP("Natural Gas", 'GHG Emissions'!$D$2:$M$66,6,FALSE)*'eGRID subregion name'!$P$3+VLOOKUP("Natural Gas", 'GHG Emissions'!$D$2:$M$66,8,FALSE)*'eGRID subregion name'!$P$4</f>
        <v>53.114800000000002</v>
      </c>
      <c r="I108" s="455">
        <f t="shared" si="12"/>
        <v>0</v>
      </c>
      <c r="J108" s="455">
        <f>'Sch4-Cost Savings by ECM'!U108</f>
        <v>0</v>
      </c>
      <c r="K10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8" s="455">
        <f t="shared" si="13"/>
        <v>0</v>
      </c>
      <c r="M108" s="455">
        <f>'Sch4-Cost Savings by ECM'!W108</f>
        <v>0</v>
      </c>
      <c r="N10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8" s="455">
        <f t="shared" si="14"/>
        <v>0</v>
      </c>
      <c r="P108" s="457">
        <f t="shared" si="11"/>
        <v>0</v>
      </c>
      <c r="Q108" s="455">
        <f>'Sch4-Cost Savings by ECM'!AA108</f>
        <v>0</v>
      </c>
      <c r="R108" s="455">
        <f t="shared" si="17"/>
        <v>0</v>
      </c>
      <c r="S108" s="455">
        <f t="shared" si="18"/>
        <v>0</v>
      </c>
      <c r="T108" s="455">
        <f t="shared" si="15"/>
        <v>0</v>
      </c>
    </row>
    <row r="109" spans="1:20" ht="17" thickBot="1">
      <c r="A109" s="75" t="str">
        <f>IF('Sch2a-Imp Price by ECM'!B110="","",'Sch2a-Imp Price by ECM'!B110)</f>
        <v/>
      </c>
      <c r="B109" s="174" t="str">
        <f>IF('Sch2a-Imp Price by ECM'!D110="","",'Sch2a-Imp Price by ECM'!D110)</f>
        <v/>
      </c>
      <c r="C109" s="458" t="s">
        <v>431</v>
      </c>
      <c r="D109" s="454">
        <f>'Sch4-Cost Savings by ECM'!O109</f>
        <v>0</v>
      </c>
      <c r="E109" s="454">
        <f>VLOOKUP(C109,'eGRID subregion name'!$A$2:$N$30,8,0)</f>
        <v>189.83531623683197</v>
      </c>
      <c r="F109" s="454">
        <f t="shared" si="16"/>
        <v>0</v>
      </c>
      <c r="G109" s="455">
        <f>'Sch4-Cost Savings by ECM'!S109</f>
        <v>0</v>
      </c>
      <c r="H109" s="455">
        <f>VLOOKUP("Natural Gas", 'GHG Emissions'!$D$2:$M$66,4,FALSE)+VLOOKUP("Natural Gas", 'GHG Emissions'!$D$2:$M$66,6,FALSE)*'eGRID subregion name'!$P$3+VLOOKUP("Natural Gas", 'GHG Emissions'!$D$2:$M$66,8,FALSE)*'eGRID subregion name'!$P$4</f>
        <v>53.114800000000002</v>
      </c>
      <c r="I109" s="455">
        <f t="shared" si="12"/>
        <v>0</v>
      </c>
      <c r="J109" s="455">
        <f>'Sch4-Cost Savings by ECM'!U109</f>
        <v>0</v>
      </c>
      <c r="K10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09" s="455">
        <f t="shared" si="13"/>
        <v>0</v>
      </c>
      <c r="M109" s="455">
        <f>'Sch4-Cost Savings by ECM'!W109</f>
        <v>0</v>
      </c>
      <c r="N10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09" s="455">
        <f t="shared" si="14"/>
        <v>0</v>
      </c>
      <c r="P109" s="457">
        <f t="shared" si="11"/>
        <v>0</v>
      </c>
      <c r="Q109" s="455">
        <f>'Sch4-Cost Savings by ECM'!AA109</f>
        <v>0</v>
      </c>
      <c r="R109" s="455">
        <f t="shared" si="17"/>
        <v>0</v>
      </c>
      <c r="S109" s="455">
        <f t="shared" si="18"/>
        <v>0</v>
      </c>
      <c r="T109" s="455">
        <f t="shared" si="15"/>
        <v>0</v>
      </c>
    </row>
    <row r="110" spans="1:20" ht="17" thickBot="1">
      <c r="A110" s="75" t="str">
        <f>IF('Sch2a-Imp Price by ECM'!B111="","",'Sch2a-Imp Price by ECM'!B111)</f>
        <v/>
      </c>
      <c r="B110" s="174" t="str">
        <f>IF('Sch2a-Imp Price by ECM'!D111="","",'Sch2a-Imp Price by ECM'!D111)</f>
        <v/>
      </c>
      <c r="C110" s="458" t="s">
        <v>431</v>
      </c>
      <c r="D110" s="454">
        <f>'Sch4-Cost Savings by ECM'!O110</f>
        <v>0</v>
      </c>
      <c r="E110" s="454">
        <f>VLOOKUP(C110,'eGRID subregion name'!$A$2:$N$30,8,0)</f>
        <v>189.83531623683197</v>
      </c>
      <c r="F110" s="454">
        <f t="shared" si="16"/>
        <v>0</v>
      </c>
      <c r="G110" s="455">
        <f>'Sch4-Cost Savings by ECM'!S110</f>
        <v>0</v>
      </c>
      <c r="H110" s="455">
        <f>VLOOKUP("Natural Gas", 'GHG Emissions'!$D$2:$M$66,4,FALSE)+VLOOKUP("Natural Gas", 'GHG Emissions'!$D$2:$M$66,6,FALSE)*'eGRID subregion name'!$P$3+VLOOKUP("Natural Gas", 'GHG Emissions'!$D$2:$M$66,8,FALSE)*'eGRID subregion name'!$P$4</f>
        <v>53.114800000000002</v>
      </c>
      <c r="I110" s="455">
        <f t="shared" si="12"/>
        <v>0</v>
      </c>
      <c r="J110" s="455">
        <f>'Sch4-Cost Savings by ECM'!U110</f>
        <v>0</v>
      </c>
      <c r="K11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0" s="455">
        <f t="shared" si="13"/>
        <v>0</v>
      </c>
      <c r="M110" s="455">
        <f>'Sch4-Cost Savings by ECM'!W110</f>
        <v>0</v>
      </c>
      <c r="N11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0" s="455">
        <f t="shared" si="14"/>
        <v>0</v>
      </c>
      <c r="P110" s="457">
        <f t="shared" si="11"/>
        <v>0</v>
      </c>
      <c r="Q110" s="455">
        <f>'Sch4-Cost Savings by ECM'!AA110</f>
        <v>0</v>
      </c>
      <c r="R110" s="455">
        <f t="shared" si="17"/>
        <v>0</v>
      </c>
      <c r="S110" s="455">
        <f t="shared" si="18"/>
        <v>0</v>
      </c>
      <c r="T110" s="455">
        <f t="shared" si="15"/>
        <v>0</v>
      </c>
    </row>
    <row r="111" spans="1:20" ht="17" thickBot="1">
      <c r="A111" s="75" t="str">
        <f>IF('Sch2a-Imp Price by ECM'!B112="","",'Sch2a-Imp Price by ECM'!B112)</f>
        <v/>
      </c>
      <c r="B111" s="174" t="str">
        <f>IF('Sch2a-Imp Price by ECM'!D112="","",'Sch2a-Imp Price by ECM'!D112)</f>
        <v/>
      </c>
      <c r="C111" s="458" t="s">
        <v>431</v>
      </c>
      <c r="D111" s="454">
        <f>'Sch4-Cost Savings by ECM'!O111</f>
        <v>0</v>
      </c>
      <c r="E111" s="454">
        <f>VLOOKUP(C111,'eGRID subregion name'!$A$2:$N$30,8,0)</f>
        <v>189.83531623683197</v>
      </c>
      <c r="F111" s="454">
        <f t="shared" si="16"/>
        <v>0</v>
      </c>
      <c r="G111" s="455">
        <f>'Sch4-Cost Savings by ECM'!S111</f>
        <v>0</v>
      </c>
      <c r="H111" s="455">
        <f>VLOOKUP("Natural Gas", 'GHG Emissions'!$D$2:$M$66,4,FALSE)+VLOOKUP("Natural Gas", 'GHG Emissions'!$D$2:$M$66,6,FALSE)*'eGRID subregion name'!$P$3+VLOOKUP("Natural Gas", 'GHG Emissions'!$D$2:$M$66,8,FALSE)*'eGRID subregion name'!$P$4</f>
        <v>53.114800000000002</v>
      </c>
      <c r="I111" s="455">
        <f t="shared" si="12"/>
        <v>0</v>
      </c>
      <c r="J111" s="455">
        <f>'Sch4-Cost Savings by ECM'!U111</f>
        <v>0</v>
      </c>
      <c r="K11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1" s="455">
        <f t="shared" si="13"/>
        <v>0</v>
      </c>
      <c r="M111" s="455">
        <f>'Sch4-Cost Savings by ECM'!W111</f>
        <v>0</v>
      </c>
      <c r="N11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1" s="455">
        <f t="shared" si="14"/>
        <v>0</v>
      </c>
      <c r="P111" s="457">
        <f t="shared" si="11"/>
        <v>0</v>
      </c>
      <c r="Q111" s="455">
        <f>'Sch4-Cost Savings by ECM'!AA111</f>
        <v>0</v>
      </c>
      <c r="R111" s="455">
        <f t="shared" si="17"/>
        <v>0</v>
      </c>
      <c r="S111" s="455">
        <f t="shared" si="18"/>
        <v>0</v>
      </c>
      <c r="T111" s="455">
        <f t="shared" si="15"/>
        <v>0</v>
      </c>
    </row>
    <row r="112" spans="1:20" ht="17" thickBot="1">
      <c r="A112" s="75" t="str">
        <f>IF('Sch2a-Imp Price by ECM'!B113="","",'Sch2a-Imp Price by ECM'!B113)</f>
        <v/>
      </c>
      <c r="B112" s="174" t="str">
        <f>IF('Sch2a-Imp Price by ECM'!D113="","",'Sch2a-Imp Price by ECM'!D113)</f>
        <v/>
      </c>
      <c r="C112" s="458" t="s">
        <v>431</v>
      </c>
      <c r="D112" s="454">
        <f>'Sch4-Cost Savings by ECM'!O112</f>
        <v>0</v>
      </c>
      <c r="E112" s="454">
        <f>VLOOKUP(C112,'eGRID subregion name'!$A$2:$N$30,8,0)</f>
        <v>189.83531623683197</v>
      </c>
      <c r="F112" s="454">
        <f t="shared" si="16"/>
        <v>0</v>
      </c>
      <c r="G112" s="455">
        <f>'Sch4-Cost Savings by ECM'!S112</f>
        <v>0</v>
      </c>
      <c r="H112" s="455">
        <f>VLOOKUP("Natural Gas", 'GHG Emissions'!$D$2:$M$66,4,FALSE)+VLOOKUP("Natural Gas", 'GHG Emissions'!$D$2:$M$66,6,FALSE)*'eGRID subregion name'!$P$3+VLOOKUP("Natural Gas", 'GHG Emissions'!$D$2:$M$66,8,FALSE)*'eGRID subregion name'!$P$4</f>
        <v>53.114800000000002</v>
      </c>
      <c r="I112" s="455">
        <f t="shared" si="12"/>
        <v>0</v>
      </c>
      <c r="J112" s="455">
        <f>'Sch4-Cost Savings by ECM'!U112</f>
        <v>0</v>
      </c>
      <c r="K11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2" s="455">
        <f t="shared" si="13"/>
        <v>0</v>
      </c>
      <c r="M112" s="455">
        <f>'Sch4-Cost Savings by ECM'!W112</f>
        <v>0</v>
      </c>
      <c r="N11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2" s="455">
        <f t="shared" si="14"/>
        <v>0</v>
      </c>
      <c r="P112" s="457">
        <f t="shared" si="11"/>
        <v>0</v>
      </c>
      <c r="Q112" s="455">
        <f>'Sch4-Cost Savings by ECM'!AA112</f>
        <v>0</v>
      </c>
      <c r="R112" s="455">
        <f t="shared" si="17"/>
        <v>0</v>
      </c>
      <c r="S112" s="455">
        <f t="shared" si="18"/>
        <v>0</v>
      </c>
      <c r="T112" s="455">
        <f t="shared" si="15"/>
        <v>0</v>
      </c>
    </row>
    <row r="113" spans="1:20" ht="17" thickBot="1">
      <c r="A113" s="75" t="str">
        <f>IF('Sch2a-Imp Price by ECM'!B114="","",'Sch2a-Imp Price by ECM'!B114)</f>
        <v/>
      </c>
      <c r="B113" s="174" t="str">
        <f>IF('Sch2a-Imp Price by ECM'!D114="","",'Sch2a-Imp Price by ECM'!D114)</f>
        <v/>
      </c>
      <c r="C113" s="458" t="s">
        <v>431</v>
      </c>
      <c r="D113" s="454">
        <f>'Sch4-Cost Savings by ECM'!O113</f>
        <v>0</v>
      </c>
      <c r="E113" s="454">
        <f>VLOOKUP(C113,'eGRID subregion name'!$A$2:$N$30,8,0)</f>
        <v>189.83531623683197</v>
      </c>
      <c r="F113" s="454">
        <f t="shared" si="16"/>
        <v>0</v>
      </c>
      <c r="G113" s="455">
        <f>'Sch4-Cost Savings by ECM'!S113</f>
        <v>0</v>
      </c>
      <c r="H113" s="455">
        <f>VLOOKUP("Natural Gas", 'GHG Emissions'!$D$2:$M$66,4,FALSE)+VLOOKUP("Natural Gas", 'GHG Emissions'!$D$2:$M$66,6,FALSE)*'eGRID subregion name'!$P$3+VLOOKUP("Natural Gas", 'GHG Emissions'!$D$2:$M$66,8,FALSE)*'eGRID subregion name'!$P$4</f>
        <v>53.114800000000002</v>
      </c>
      <c r="I113" s="455">
        <f t="shared" si="12"/>
        <v>0</v>
      </c>
      <c r="J113" s="455">
        <f>'Sch4-Cost Savings by ECM'!U113</f>
        <v>0</v>
      </c>
      <c r="K11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3" s="455">
        <f t="shared" si="13"/>
        <v>0</v>
      </c>
      <c r="M113" s="455">
        <f>'Sch4-Cost Savings by ECM'!W113</f>
        <v>0</v>
      </c>
      <c r="N11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3" s="455">
        <f t="shared" si="14"/>
        <v>0</v>
      </c>
      <c r="P113" s="457">
        <f t="shared" si="11"/>
        <v>0</v>
      </c>
      <c r="Q113" s="455">
        <f>'Sch4-Cost Savings by ECM'!AA113</f>
        <v>0</v>
      </c>
      <c r="R113" s="455">
        <f t="shared" si="17"/>
        <v>0</v>
      </c>
      <c r="S113" s="455">
        <f t="shared" si="18"/>
        <v>0</v>
      </c>
      <c r="T113" s="455">
        <f t="shared" si="15"/>
        <v>0</v>
      </c>
    </row>
    <row r="114" spans="1:20" ht="17" thickBot="1">
      <c r="A114" s="75" t="str">
        <f>IF('Sch2a-Imp Price by ECM'!B115="","",'Sch2a-Imp Price by ECM'!B115)</f>
        <v/>
      </c>
      <c r="B114" s="174" t="str">
        <f>IF('Sch2a-Imp Price by ECM'!D115="","",'Sch2a-Imp Price by ECM'!D115)</f>
        <v/>
      </c>
      <c r="C114" s="458" t="s">
        <v>431</v>
      </c>
      <c r="D114" s="454">
        <f>'Sch4-Cost Savings by ECM'!O114</f>
        <v>0</v>
      </c>
      <c r="E114" s="454">
        <f>VLOOKUP(C114,'eGRID subregion name'!$A$2:$N$30,8,0)</f>
        <v>189.83531623683197</v>
      </c>
      <c r="F114" s="454">
        <f t="shared" si="16"/>
        <v>0</v>
      </c>
      <c r="G114" s="455">
        <f>'Sch4-Cost Savings by ECM'!S114</f>
        <v>0</v>
      </c>
      <c r="H114" s="455">
        <f>VLOOKUP("Natural Gas", 'GHG Emissions'!$D$2:$M$66,4,FALSE)+VLOOKUP("Natural Gas", 'GHG Emissions'!$D$2:$M$66,6,FALSE)*'eGRID subregion name'!$P$3+VLOOKUP("Natural Gas", 'GHG Emissions'!$D$2:$M$66,8,FALSE)*'eGRID subregion name'!$P$4</f>
        <v>53.114800000000002</v>
      </c>
      <c r="I114" s="455">
        <f t="shared" si="12"/>
        <v>0</v>
      </c>
      <c r="J114" s="455">
        <f>'Sch4-Cost Savings by ECM'!U114</f>
        <v>0</v>
      </c>
      <c r="K11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4" s="455">
        <f t="shared" si="13"/>
        <v>0</v>
      </c>
      <c r="M114" s="455">
        <f>'Sch4-Cost Savings by ECM'!W114</f>
        <v>0</v>
      </c>
      <c r="N11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4" s="455">
        <f t="shared" si="14"/>
        <v>0</v>
      </c>
      <c r="P114" s="457">
        <f t="shared" si="11"/>
        <v>0</v>
      </c>
      <c r="Q114" s="455">
        <f>'Sch4-Cost Savings by ECM'!AA114</f>
        <v>0</v>
      </c>
      <c r="R114" s="455">
        <f t="shared" si="17"/>
        <v>0</v>
      </c>
      <c r="S114" s="455">
        <f t="shared" si="18"/>
        <v>0</v>
      </c>
      <c r="T114" s="455">
        <f t="shared" si="15"/>
        <v>0</v>
      </c>
    </row>
    <row r="115" spans="1:20" ht="17" thickBot="1">
      <c r="A115" s="75" t="str">
        <f>IF('Sch2a-Imp Price by ECM'!B116="","",'Sch2a-Imp Price by ECM'!B116)</f>
        <v/>
      </c>
      <c r="B115" s="174" t="str">
        <f>IF('Sch2a-Imp Price by ECM'!D116="","",'Sch2a-Imp Price by ECM'!D116)</f>
        <v/>
      </c>
      <c r="C115" s="458" t="s">
        <v>431</v>
      </c>
      <c r="D115" s="454">
        <f>'Sch4-Cost Savings by ECM'!O115</f>
        <v>0</v>
      </c>
      <c r="E115" s="454">
        <f>VLOOKUP(C115,'eGRID subregion name'!$A$2:$N$30,8,0)</f>
        <v>189.83531623683197</v>
      </c>
      <c r="F115" s="454">
        <f t="shared" si="16"/>
        <v>0</v>
      </c>
      <c r="G115" s="455">
        <f>'Sch4-Cost Savings by ECM'!S115</f>
        <v>0</v>
      </c>
      <c r="H115" s="455">
        <f>VLOOKUP("Natural Gas", 'GHG Emissions'!$D$2:$M$66,4,FALSE)+VLOOKUP("Natural Gas", 'GHG Emissions'!$D$2:$M$66,6,FALSE)*'eGRID subregion name'!$P$3+VLOOKUP("Natural Gas", 'GHG Emissions'!$D$2:$M$66,8,FALSE)*'eGRID subregion name'!$P$4</f>
        <v>53.114800000000002</v>
      </c>
      <c r="I115" s="455">
        <f t="shared" si="12"/>
        <v>0</v>
      </c>
      <c r="J115" s="455">
        <f>'Sch4-Cost Savings by ECM'!U115</f>
        <v>0</v>
      </c>
      <c r="K11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5" s="455">
        <f t="shared" si="13"/>
        <v>0</v>
      </c>
      <c r="M115" s="455">
        <f>'Sch4-Cost Savings by ECM'!W115</f>
        <v>0</v>
      </c>
      <c r="N11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5" s="455">
        <f t="shared" si="14"/>
        <v>0</v>
      </c>
      <c r="P115" s="457">
        <f t="shared" si="11"/>
        <v>0</v>
      </c>
      <c r="Q115" s="455">
        <f>'Sch4-Cost Savings by ECM'!AA115</f>
        <v>0</v>
      </c>
      <c r="R115" s="455">
        <f t="shared" si="17"/>
        <v>0</v>
      </c>
      <c r="S115" s="455">
        <f t="shared" si="18"/>
        <v>0</v>
      </c>
      <c r="T115" s="455">
        <f t="shared" si="15"/>
        <v>0</v>
      </c>
    </row>
    <row r="116" spans="1:20" ht="17" thickBot="1">
      <c r="A116" s="75" t="str">
        <f>IF('Sch2a-Imp Price by ECM'!B117="","",'Sch2a-Imp Price by ECM'!B117)</f>
        <v/>
      </c>
      <c r="B116" s="174" t="str">
        <f>IF('Sch2a-Imp Price by ECM'!D117="","",'Sch2a-Imp Price by ECM'!D117)</f>
        <v/>
      </c>
      <c r="C116" s="458" t="s">
        <v>431</v>
      </c>
      <c r="D116" s="454">
        <f>'Sch4-Cost Savings by ECM'!O116</f>
        <v>0</v>
      </c>
      <c r="E116" s="454">
        <f>VLOOKUP(C116,'eGRID subregion name'!$A$2:$N$30,8,0)</f>
        <v>189.83531623683197</v>
      </c>
      <c r="F116" s="454">
        <f t="shared" si="16"/>
        <v>0</v>
      </c>
      <c r="G116" s="455">
        <f>'Sch4-Cost Savings by ECM'!S116</f>
        <v>0</v>
      </c>
      <c r="H116" s="455">
        <f>VLOOKUP("Natural Gas", 'GHG Emissions'!$D$2:$M$66,4,FALSE)+VLOOKUP("Natural Gas", 'GHG Emissions'!$D$2:$M$66,6,FALSE)*'eGRID subregion name'!$P$3+VLOOKUP("Natural Gas", 'GHG Emissions'!$D$2:$M$66,8,FALSE)*'eGRID subregion name'!$P$4</f>
        <v>53.114800000000002</v>
      </c>
      <c r="I116" s="455">
        <f t="shared" si="12"/>
        <v>0</v>
      </c>
      <c r="J116" s="455">
        <f>'Sch4-Cost Savings by ECM'!U116</f>
        <v>0</v>
      </c>
      <c r="K11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6" s="455">
        <f t="shared" si="13"/>
        <v>0</v>
      </c>
      <c r="M116" s="455">
        <f>'Sch4-Cost Savings by ECM'!W116</f>
        <v>0</v>
      </c>
      <c r="N11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6" s="455">
        <f t="shared" si="14"/>
        <v>0</v>
      </c>
      <c r="P116" s="457">
        <f t="shared" si="11"/>
        <v>0</v>
      </c>
      <c r="Q116" s="455">
        <f>'Sch4-Cost Savings by ECM'!AA116</f>
        <v>0</v>
      </c>
      <c r="R116" s="455">
        <f t="shared" si="17"/>
        <v>0</v>
      </c>
      <c r="S116" s="455">
        <f t="shared" si="18"/>
        <v>0</v>
      </c>
      <c r="T116" s="455">
        <f t="shared" si="15"/>
        <v>0</v>
      </c>
    </row>
    <row r="117" spans="1:20" ht="17" thickBot="1">
      <c r="A117" s="75" t="str">
        <f>IF('Sch2a-Imp Price by ECM'!B118="","",'Sch2a-Imp Price by ECM'!B118)</f>
        <v/>
      </c>
      <c r="B117" s="174" t="str">
        <f>IF('Sch2a-Imp Price by ECM'!D118="","",'Sch2a-Imp Price by ECM'!D118)</f>
        <v/>
      </c>
      <c r="C117" s="458" t="s">
        <v>431</v>
      </c>
      <c r="D117" s="454">
        <f>'Sch4-Cost Savings by ECM'!O117</f>
        <v>0</v>
      </c>
      <c r="E117" s="454">
        <f>VLOOKUP(C117,'eGRID subregion name'!$A$2:$N$30,8,0)</f>
        <v>189.83531623683197</v>
      </c>
      <c r="F117" s="454">
        <f t="shared" si="16"/>
        <v>0</v>
      </c>
      <c r="G117" s="455">
        <f>'Sch4-Cost Savings by ECM'!S117</f>
        <v>0</v>
      </c>
      <c r="H117" s="455">
        <f>VLOOKUP("Natural Gas", 'GHG Emissions'!$D$2:$M$66,4,FALSE)+VLOOKUP("Natural Gas", 'GHG Emissions'!$D$2:$M$66,6,FALSE)*'eGRID subregion name'!$P$3+VLOOKUP("Natural Gas", 'GHG Emissions'!$D$2:$M$66,8,FALSE)*'eGRID subregion name'!$P$4</f>
        <v>53.114800000000002</v>
      </c>
      <c r="I117" s="455">
        <f t="shared" si="12"/>
        <v>0</v>
      </c>
      <c r="J117" s="455">
        <f>'Sch4-Cost Savings by ECM'!U117</f>
        <v>0</v>
      </c>
      <c r="K11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7" s="455">
        <f t="shared" si="13"/>
        <v>0</v>
      </c>
      <c r="M117" s="455">
        <f>'Sch4-Cost Savings by ECM'!W117</f>
        <v>0</v>
      </c>
      <c r="N11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7" s="455">
        <f t="shared" si="14"/>
        <v>0</v>
      </c>
      <c r="P117" s="457">
        <f t="shared" si="11"/>
        <v>0</v>
      </c>
      <c r="Q117" s="455">
        <f>'Sch4-Cost Savings by ECM'!AA117</f>
        <v>0</v>
      </c>
      <c r="R117" s="455">
        <f t="shared" si="17"/>
        <v>0</v>
      </c>
      <c r="S117" s="455">
        <f t="shared" si="18"/>
        <v>0</v>
      </c>
      <c r="T117" s="455">
        <f t="shared" si="15"/>
        <v>0</v>
      </c>
    </row>
    <row r="118" spans="1:20" ht="18" customHeight="1" thickBot="1">
      <c r="A118" s="75" t="str">
        <f>IF('Sch2a-Imp Price by ECM'!B119="","",'Sch2a-Imp Price by ECM'!B119)</f>
        <v/>
      </c>
      <c r="B118" s="174" t="str">
        <f>IF('Sch2a-Imp Price by ECM'!D119="","",'Sch2a-Imp Price by ECM'!D119)</f>
        <v/>
      </c>
      <c r="C118" s="458" t="s">
        <v>431</v>
      </c>
      <c r="D118" s="454">
        <f>'Sch4-Cost Savings by ECM'!O118</f>
        <v>0</v>
      </c>
      <c r="E118" s="454">
        <f>VLOOKUP(C118,'eGRID subregion name'!$A$2:$N$30,8,0)</f>
        <v>189.83531623683197</v>
      </c>
      <c r="F118" s="454">
        <f t="shared" si="16"/>
        <v>0</v>
      </c>
      <c r="G118" s="455">
        <f>'Sch4-Cost Savings by ECM'!S118</f>
        <v>0</v>
      </c>
      <c r="H118" s="455">
        <f>VLOOKUP("Natural Gas", 'GHG Emissions'!$D$2:$M$66,4,FALSE)+VLOOKUP("Natural Gas", 'GHG Emissions'!$D$2:$M$66,6,FALSE)*'eGRID subregion name'!$P$3+VLOOKUP("Natural Gas", 'GHG Emissions'!$D$2:$M$66,8,FALSE)*'eGRID subregion name'!$P$4</f>
        <v>53.114800000000002</v>
      </c>
      <c r="I118" s="455">
        <f t="shared" si="12"/>
        <v>0</v>
      </c>
      <c r="J118" s="455">
        <f>'Sch4-Cost Savings by ECM'!U118</f>
        <v>0</v>
      </c>
      <c r="K11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8" s="455">
        <f t="shared" si="13"/>
        <v>0</v>
      </c>
      <c r="M118" s="455">
        <f>'Sch4-Cost Savings by ECM'!W118</f>
        <v>0</v>
      </c>
      <c r="N11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8" s="455">
        <f t="shared" si="14"/>
        <v>0</v>
      </c>
      <c r="P118" s="457">
        <f t="shared" si="11"/>
        <v>0</v>
      </c>
      <c r="Q118" s="455">
        <f>'Sch4-Cost Savings by ECM'!AA118</f>
        <v>0</v>
      </c>
      <c r="R118" s="455">
        <f t="shared" si="17"/>
        <v>0</v>
      </c>
      <c r="S118" s="455">
        <f t="shared" si="18"/>
        <v>0</v>
      </c>
      <c r="T118" s="455">
        <f t="shared" si="15"/>
        <v>0</v>
      </c>
    </row>
    <row r="119" spans="1:20" ht="17" thickBot="1">
      <c r="A119" s="75" t="str">
        <f>IF('Sch2a-Imp Price by ECM'!B120="","",'Sch2a-Imp Price by ECM'!B120)</f>
        <v/>
      </c>
      <c r="B119" s="174" t="str">
        <f>IF('Sch2a-Imp Price by ECM'!D120="","",'Sch2a-Imp Price by ECM'!D120)</f>
        <v/>
      </c>
      <c r="C119" s="458" t="s">
        <v>431</v>
      </c>
      <c r="D119" s="454">
        <f>'Sch4-Cost Savings by ECM'!O119</f>
        <v>0</v>
      </c>
      <c r="E119" s="454">
        <f>VLOOKUP(C119,'eGRID subregion name'!$A$2:$N$30,8,0)</f>
        <v>189.83531623683197</v>
      </c>
      <c r="F119" s="454">
        <f t="shared" si="16"/>
        <v>0</v>
      </c>
      <c r="G119" s="455">
        <f>'Sch4-Cost Savings by ECM'!S119</f>
        <v>0</v>
      </c>
      <c r="H119" s="455">
        <f>VLOOKUP("Natural Gas", 'GHG Emissions'!$D$2:$M$66,4,FALSE)+VLOOKUP("Natural Gas", 'GHG Emissions'!$D$2:$M$66,6,FALSE)*'eGRID subregion name'!$P$3+VLOOKUP("Natural Gas", 'GHG Emissions'!$D$2:$M$66,8,FALSE)*'eGRID subregion name'!$P$4</f>
        <v>53.114800000000002</v>
      </c>
      <c r="I119" s="455">
        <f t="shared" si="12"/>
        <v>0</v>
      </c>
      <c r="J119" s="455">
        <f>'Sch4-Cost Savings by ECM'!U119</f>
        <v>0</v>
      </c>
      <c r="K11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19" s="455">
        <f t="shared" si="13"/>
        <v>0</v>
      </c>
      <c r="M119" s="455">
        <f>'Sch4-Cost Savings by ECM'!W119</f>
        <v>0</v>
      </c>
      <c r="N11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19" s="455">
        <f t="shared" si="14"/>
        <v>0</v>
      </c>
      <c r="P119" s="457">
        <f t="shared" si="11"/>
        <v>0</v>
      </c>
      <c r="Q119" s="455">
        <f>'Sch4-Cost Savings by ECM'!AA119</f>
        <v>0</v>
      </c>
      <c r="R119" s="455">
        <f t="shared" si="17"/>
        <v>0</v>
      </c>
      <c r="S119" s="455">
        <f t="shared" si="18"/>
        <v>0</v>
      </c>
      <c r="T119" s="455">
        <f t="shared" si="15"/>
        <v>0</v>
      </c>
    </row>
    <row r="120" spans="1:20" ht="17" thickBot="1">
      <c r="A120" s="75" t="str">
        <f>IF('Sch2a-Imp Price by ECM'!B121="","",'Sch2a-Imp Price by ECM'!B121)</f>
        <v/>
      </c>
      <c r="B120" s="174" t="str">
        <f>IF('Sch2a-Imp Price by ECM'!D121="","",'Sch2a-Imp Price by ECM'!D121)</f>
        <v/>
      </c>
      <c r="C120" s="458" t="s">
        <v>431</v>
      </c>
      <c r="D120" s="454">
        <f>'Sch4-Cost Savings by ECM'!O120</f>
        <v>0</v>
      </c>
      <c r="E120" s="454">
        <f>VLOOKUP(C120,'eGRID subregion name'!$A$2:$N$30,8,0)</f>
        <v>189.83531623683197</v>
      </c>
      <c r="F120" s="454">
        <f t="shared" si="16"/>
        <v>0</v>
      </c>
      <c r="G120" s="455">
        <f>'Sch4-Cost Savings by ECM'!S120</f>
        <v>0</v>
      </c>
      <c r="H120" s="455">
        <f>VLOOKUP("Natural Gas", 'GHG Emissions'!$D$2:$M$66,4,FALSE)+VLOOKUP("Natural Gas", 'GHG Emissions'!$D$2:$M$66,6,FALSE)*'eGRID subregion name'!$P$3+VLOOKUP("Natural Gas", 'GHG Emissions'!$D$2:$M$66,8,FALSE)*'eGRID subregion name'!$P$4</f>
        <v>53.114800000000002</v>
      </c>
      <c r="I120" s="455">
        <f t="shared" si="12"/>
        <v>0</v>
      </c>
      <c r="J120" s="455">
        <f>'Sch4-Cost Savings by ECM'!U120</f>
        <v>0</v>
      </c>
      <c r="K12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0" s="455">
        <f t="shared" si="13"/>
        <v>0</v>
      </c>
      <c r="M120" s="455">
        <f>'Sch4-Cost Savings by ECM'!W120</f>
        <v>0</v>
      </c>
      <c r="N12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0" s="455">
        <f t="shared" si="14"/>
        <v>0</v>
      </c>
      <c r="P120" s="457">
        <f t="shared" si="11"/>
        <v>0</v>
      </c>
      <c r="Q120" s="455">
        <f>'Sch4-Cost Savings by ECM'!AA120</f>
        <v>0</v>
      </c>
      <c r="R120" s="455">
        <f t="shared" si="17"/>
        <v>0</v>
      </c>
      <c r="S120" s="455">
        <f t="shared" si="18"/>
        <v>0</v>
      </c>
      <c r="T120" s="455">
        <f t="shared" si="15"/>
        <v>0</v>
      </c>
    </row>
    <row r="121" spans="1:20" ht="17" thickBot="1">
      <c r="A121" s="75" t="str">
        <f>IF('Sch2a-Imp Price by ECM'!B122="","",'Sch2a-Imp Price by ECM'!B122)</f>
        <v/>
      </c>
      <c r="B121" s="174" t="str">
        <f>IF('Sch2a-Imp Price by ECM'!D122="","",'Sch2a-Imp Price by ECM'!D122)</f>
        <v/>
      </c>
      <c r="C121" s="458" t="s">
        <v>431</v>
      </c>
      <c r="D121" s="454">
        <f>'Sch4-Cost Savings by ECM'!O121</f>
        <v>0</v>
      </c>
      <c r="E121" s="454">
        <f>VLOOKUP(C121,'eGRID subregion name'!$A$2:$N$30,8,0)</f>
        <v>189.83531623683197</v>
      </c>
      <c r="F121" s="454">
        <f t="shared" si="16"/>
        <v>0</v>
      </c>
      <c r="G121" s="455">
        <f>'Sch4-Cost Savings by ECM'!S121</f>
        <v>0</v>
      </c>
      <c r="H121" s="455">
        <f>VLOOKUP("Natural Gas", 'GHG Emissions'!$D$2:$M$66,4,FALSE)+VLOOKUP("Natural Gas", 'GHG Emissions'!$D$2:$M$66,6,FALSE)*'eGRID subregion name'!$P$3+VLOOKUP("Natural Gas", 'GHG Emissions'!$D$2:$M$66,8,FALSE)*'eGRID subregion name'!$P$4</f>
        <v>53.114800000000002</v>
      </c>
      <c r="I121" s="455">
        <f t="shared" si="12"/>
        <v>0</v>
      </c>
      <c r="J121" s="455">
        <f>'Sch4-Cost Savings by ECM'!U121</f>
        <v>0</v>
      </c>
      <c r="K12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1" s="455">
        <f t="shared" si="13"/>
        <v>0</v>
      </c>
      <c r="M121" s="455">
        <f>'Sch4-Cost Savings by ECM'!W121</f>
        <v>0</v>
      </c>
      <c r="N12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1" s="455">
        <f t="shared" si="14"/>
        <v>0</v>
      </c>
      <c r="P121" s="457">
        <f t="shared" si="11"/>
        <v>0</v>
      </c>
      <c r="Q121" s="455">
        <f>'Sch4-Cost Savings by ECM'!AA121</f>
        <v>0</v>
      </c>
      <c r="R121" s="455">
        <f t="shared" si="17"/>
        <v>0</v>
      </c>
      <c r="S121" s="455">
        <f t="shared" si="18"/>
        <v>0</v>
      </c>
      <c r="T121" s="455">
        <f t="shared" si="15"/>
        <v>0</v>
      </c>
    </row>
    <row r="122" spans="1:20" ht="17" thickBot="1">
      <c r="A122" s="75" t="str">
        <f>IF('Sch2a-Imp Price by ECM'!B123="","",'Sch2a-Imp Price by ECM'!B123)</f>
        <v/>
      </c>
      <c r="B122" s="174" t="str">
        <f>IF('Sch2a-Imp Price by ECM'!D123="","",'Sch2a-Imp Price by ECM'!D123)</f>
        <v/>
      </c>
      <c r="C122" s="458" t="s">
        <v>431</v>
      </c>
      <c r="D122" s="454">
        <f>'Sch4-Cost Savings by ECM'!O122</f>
        <v>0</v>
      </c>
      <c r="E122" s="454">
        <f>VLOOKUP(C122,'eGRID subregion name'!$A$2:$N$30,8,0)</f>
        <v>189.83531623683197</v>
      </c>
      <c r="F122" s="454">
        <f t="shared" si="16"/>
        <v>0</v>
      </c>
      <c r="G122" s="455">
        <f>'Sch4-Cost Savings by ECM'!S122</f>
        <v>0</v>
      </c>
      <c r="H122" s="455">
        <f>VLOOKUP("Natural Gas", 'GHG Emissions'!$D$2:$M$66,4,FALSE)+VLOOKUP("Natural Gas", 'GHG Emissions'!$D$2:$M$66,6,FALSE)*'eGRID subregion name'!$P$3+VLOOKUP("Natural Gas", 'GHG Emissions'!$D$2:$M$66,8,FALSE)*'eGRID subregion name'!$P$4</f>
        <v>53.114800000000002</v>
      </c>
      <c r="I122" s="455">
        <f t="shared" si="12"/>
        <v>0</v>
      </c>
      <c r="J122" s="455">
        <f>'Sch4-Cost Savings by ECM'!U122</f>
        <v>0</v>
      </c>
      <c r="K12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2" s="455">
        <f t="shared" si="13"/>
        <v>0</v>
      </c>
      <c r="M122" s="455">
        <f>'Sch4-Cost Savings by ECM'!W122</f>
        <v>0</v>
      </c>
      <c r="N12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2" s="455">
        <f t="shared" si="14"/>
        <v>0</v>
      </c>
      <c r="P122" s="457">
        <f t="shared" si="11"/>
        <v>0</v>
      </c>
      <c r="Q122" s="455">
        <f>'Sch4-Cost Savings by ECM'!AA122</f>
        <v>0</v>
      </c>
      <c r="R122" s="455">
        <f t="shared" si="17"/>
        <v>0</v>
      </c>
      <c r="S122" s="455">
        <f t="shared" si="18"/>
        <v>0</v>
      </c>
      <c r="T122" s="455">
        <f t="shared" si="15"/>
        <v>0</v>
      </c>
    </row>
    <row r="123" spans="1:20" ht="17" thickBot="1">
      <c r="A123" s="75" t="str">
        <f>IF('Sch2a-Imp Price by ECM'!B124="","",'Sch2a-Imp Price by ECM'!B124)</f>
        <v/>
      </c>
      <c r="B123" s="174" t="str">
        <f>IF('Sch2a-Imp Price by ECM'!D124="","",'Sch2a-Imp Price by ECM'!D124)</f>
        <v/>
      </c>
      <c r="C123" s="458" t="s">
        <v>431</v>
      </c>
      <c r="D123" s="454">
        <f>'Sch4-Cost Savings by ECM'!O123</f>
        <v>0</v>
      </c>
      <c r="E123" s="454">
        <f>VLOOKUP(C123,'eGRID subregion name'!$A$2:$N$30,8,0)</f>
        <v>189.83531623683197</v>
      </c>
      <c r="F123" s="454">
        <f t="shared" si="16"/>
        <v>0</v>
      </c>
      <c r="G123" s="455">
        <f>'Sch4-Cost Savings by ECM'!S123</f>
        <v>0</v>
      </c>
      <c r="H123" s="455">
        <f>VLOOKUP("Natural Gas", 'GHG Emissions'!$D$2:$M$66,4,FALSE)+VLOOKUP("Natural Gas", 'GHG Emissions'!$D$2:$M$66,6,FALSE)*'eGRID subregion name'!$P$3+VLOOKUP("Natural Gas", 'GHG Emissions'!$D$2:$M$66,8,FALSE)*'eGRID subregion name'!$P$4</f>
        <v>53.114800000000002</v>
      </c>
      <c r="I123" s="455">
        <f t="shared" si="12"/>
        <v>0</v>
      </c>
      <c r="J123" s="455">
        <f>'Sch4-Cost Savings by ECM'!U123</f>
        <v>0</v>
      </c>
      <c r="K12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3" s="455">
        <f t="shared" si="13"/>
        <v>0</v>
      </c>
      <c r="M123" s="455">
        <f>'Sch4-Cost Savings by ECM'!W123</f>
        <v>0</v>
      </c>
      <c r="N12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3" s="455">
        <f t="shared" si="14"/>
        <v>0</v>
      </c>
      <c r="P123" s="457">
        <f t="shared" si="11"/>
        <v>0</v>
      </c>
      <c r="Q123" s="455">
        <f>'Sch4-Cost Savings by ECM'!AA123</f>
        <v>0</v>
      </c>
      <c r="R123" s="455">
        <f t="shared" si="17"/>
        <v>0</v>
      </c>
      <c r="S123" s="455">
        <f t="shared" si="18"/>
        <v>0</v>
      </c>
      <c r="T123" s="455">
        <f t="shared" si="15"/>
        <v>0</v>
      </c>
    </row>
    <row r="124" spans="1:20" ht="17" thickBot="1">
      <c r="A124" s="75" t="str">
        <f>IF('Sch2a-Imp Price by ECM'!B125="","",'Sch2a-Imp Price by ECM'!B125)</f>
        <v/>
      </c>
      <c r="B124" s="174" t="str">
        <f>IF('Sch2a-Imp Price by ECM'!D125="","",'Sch2a-Imp Price by ECM'!D125)</f>
        <v/>
      </c>
      <c r="C124" s="458" t="s">
        <v>431</v>
      </c>
      <c r="D124" s="454">
        <f>'Sch4-Cost Savings by ECM'!O124</f>
        <v>0</v>
      </c>
      <c r="E124" s="454">
        <f>VLOOKUP(C124,'eGRID subregion name'!$A$2:$N$30,8,0)</f>
        <v>189.83531623683197</v>
      </c>
      <c r="F124" s="454">
        <f t="shared" si="16"/>
        <v>0</v>
      </c>
      <c r="G124" s="455">
        <f>'Sch4-Cost Savings by ECM'!S124</f>
        <v>0</v>
      </c>
      <c r="H124" s="455">
        <f>VLOOKUP("Natural Gas", 'GHG Emissions'!$D$2:$M$66,4,FALSE)+VLOOKUP("Natural Gas", 'GHG Emissions'!$D$2:$M$66,6,FALSE)*'eGRID subregion name'!$P$3+VLOOKUP("Natural Gas", 'GHG Emissions'!$D$2:$M$66,8,FALSE)*'eGRID subregion name'!$P$4</f>
        <v>53.114800000000002</v>
      </c>
      <c r="I124" s="455">
        <f t="shared" si="12"/>
        <v>0</v>
      </c>
      <c r="J124" s="455">
        <f>'Sch4-Cost Savings by ECM'!U124</f>
        <v>0</v>
      </c>
      <c r="K12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4" s="455">
        <f t="shared" si="13"/>
        <v>0</v>
      </c>
      <c r="M124" s="455">
        <f>'Sch4-Cost Savings by ECM'!W124</f>
        <v>0</v>
      </c>
      <c r="N12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4" s="455">
        <f t="shared" si="14"/>
        <v>0</v>
      </c>
      <c r="P124" s="457">
        <f t="shared" si="11"/>
        <v>0</v>
      </c>
      <c r="Q124" s="455">
        <f>'Sch4-Cost Savings by ECM'!AA124</f>
        <v>0</v>
      </c>
      <c r="R124" s="455">
        <f t="shared" si="17"/>
        <v>0</v>
      </c>
      <c r="S124" s="455">
        <f t="shared" si="18"/>
        <v>0</v>
      </c>
      <c r="T124" s="455">
        <f t="shared" si="15"/>
        <v>0</v>
      </c>
    </row>
    <row r="125" spans="1:20" ht="17" thickBot="1">
      <c r="A125" s="75" t="str">
        <f>IF('Sch2a-Imp Price by ECM'!B126="","",'Sch2a-Imp Price by ECM'!B126)</f>
        <v/>
      </c>
      <c r="B125" s="174" t="str">
        <f>IF('Sch2a-Imp Price by ECM'!D126="","",'Sch2a-Imp Price by ECM'!D126)</f>
        <v/>
      </c>
      <c r="C125" s="458" t="s">
        <v>431</v>
      </c>
      <c r="D125" s="454">
        <f>'Sch4-Cost Savings by ECM'!O125</f>
        <v>0</v>
      </c>
      <c r="E125" s="454">
        <f>VLOOKUP(C125,'eGRID subregion name'!$A$2:$N$30,8,0)</f>
        <v>189.83531623683197</v>
      </c>
      <c r="F125" s="454">
        <f t="shared" si="16"/>
        <v>0</v>
      </c>
      <c r="G125" s="455">
        <f>'Sch4-Cost Savings by ECM'!S125</f>
        <v>0</v>
      </c>
      <c r="H125" s="455">
        <f>VLOOKUP("Natural Gas", 'GHG Emissions'!$D$2:$M$66,4,FALSE)+VLOOKUP("Natural Gas", 'GHG Emissions'!$D$2:$M$66,6,FALSE)*'eGRID subregion name'!$P$3+VLOOKUP("Natural Gas", 'GHG Emissions'!$D$2:$M$66,8,FALSE)*'eGRID subregion name'!$P$4</f>
        <v>53.114800000000002</v>
      </c>
      <c r="I125" s="455">
        <f t="shared" si="12"/>
        <v>0</v>
      </c>
      <c r="J125" s="455">
        <f>'Sch4-Cost Savings by ECM'!U125</f>
        <v>0</v>
      </c>
      <c r="K12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5" s="455">
        <f t="shared" si="13"/>
        <v>0</v>
      </c>
      <c r="M125" s="455">
        <f>'Sch4-Cost Savings by ECM'!W125</f>
        <v>0</v>
      </c>
      <c r="N12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5" s="455">
        <f t="shared" si="14"/>
        <v>0</v>
      </c>
      <c r="P125" s="457">
        <f t="shared" si="11"/>
        <v>0</v>
      </c>
      <c r="Q125" s="455">
        <f>'Sch4-Cost Savings by ECM'!AA125</f>
        <v>0</v>
      </c>
      <c r="R125" s="455">
        <f t="shared" si="17"/>
        <v>0</v>
      </c>
      <c r="S125" s="455">
        <f t="shared" si="18"/>
        <v>0</v>
      </c>
      <c r="T125" s="455">
        <f t="shared" si="15"/>
        <v>0</v>
      </c>
    </row>
    <row r="126" spans="1:20" ht="17" thickBot="1">
      <c r="A126" s="75" t="str">
        <f>IF('Sch2a-Imp Price by ECM'!B127="","",'Sch2a-Imp Price by ECM'!B127)</f>
        <v/>
      </c>
      <c r="B126" s="174" t="str">
        <f>IF('Sch2a-Imp Price by ECM'!D127="","",'Sch2a-Imp Price by ECM'!D127)</f>
        <v/>
      </c>
      <c r="C126" s="458" t="s">
        <v>431</v>
      </c>
      <c r="D126" s="454">
        <f>'Sch4-Cost Savings by ECM'!O126</f>
        <v>0</v>
      </c>
      <c r="E126" s="454">
        <f>VLOOKUP(C126,'eGRID subregion name'!$A$2:$N$30,8,0)</f>
        <v>189.83531623683197</v>
      </c>
      <c r="F126" s="454">
        <f t="shared" si="16"/>
        <v>0</v>
      </c>
      <c r="G126" s="455">
        <f>'Sch4-Cost Savings by ECM'!S126</f>
        <v>0</v>
      </c>
      <c r="H126" s="455">
        <f>VLOOKUP("Natural Gas", 'GHG Emissions'!$D$2:$M$66,4,FALSE)+VLOOKUP("Natural Gas", 'GHG Emissions'!$D$2:$M$66,6,FALSE)*'eGRID subregion name'!$P$3+VLOOKUP("Natural Gas", 'GHG Emissions'!$D$2:$M$66,8,FALSE)*'eGRID subregion name'!$P$4</f>
        <v>53.114800000000002</v>
      </c>
      <c r="I126" s="455">
        <f t="shared" si="12"/>
        <v>0</v>
      </c>
      <c r="J126" s="455">
        <f>'Sch4-Cost Savings by ECM'!U126</f>
        <v>0</v>
      </c>
      <c r="K12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6" s="455">
        <f t="shared" si="13"/>
        <v>0</v>
      </c>
      <c r="M126" s="455">
        <f>'Sch4-Cost Savings by ECM'!W126</f>
        <v>0</v>
      </c>
      <c r="N12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6" s="455">
        <f t="shared" si="14"/>
        <v>0</v>
      </c>
      <c r="P126" s="457">
        <f t="shared" si="11"/>
        <v>0</v>
      </c>
      <c r="Q126" s="455">
        <f>'Sch4-Cost Savings by ECM'!AA126</f>
        <v>0</v>
      </c>
      <c r="R126" s="455">
        <f t="shared" si="17"/>
        <v>0</v>
      </c>
      <c r="S126" s="455">
        <f t="shared" si="18"/>
        <v>0</v>
      </c>
      <c r="T126" s="455">
        <f t="shared" si="15"/>
        <v>0</v>
      </c>
    </row>
    <row r="127" spans="1:20" ht="17" thickBot="1">
      <c r="A127" s="75" t="str">
        <f>IF('Sch2a-Imp Price by ECM'!B128="","",'Sch2a-Imp Price by ECM'!B128)</f>
        <v/>
      </c>
      <c r="B127" s="174" t="str">
        <f>IF('Sch2a-Imp Price by ECM'!D128="","",'Sch2a-Imp Price by ECM'!D128)</f>
        <v/>
      </c>
      <c r="C127" s="458" t="s">
        <v>431</v>
      </c>
      <c r="D127" s="454">
        <f>'Sch4-Cost Savings by ECM'!O127</f>
        <v>0</v>
      </c>
      <c r="E127" s="454">
        <f>VLOOKUP(C127,'eGRID subregion name'!$A$2:$N$30,8,0)</f>
        <v>189.83531623683197</v>
      </c>
      <c r="F127" s="454">
        <f t="shared" si="16"/>
        <v>0</v>
      </c>
      <c r="G127" s="455">
        <f>'Sch4-Cost Savings by ECM'!S127</f>
        <v>0</v>
      </c>
      <c r="H127" s="455">
        <f>VLOOKUP("Natural Gas", 'GHG Emissions'!$D$2:$M$66,4,FALSE)+VLOOKUP("Natural Gas", 'GHG Emissions'!$D$2:$M$66,6,FALSE)*'eGRID subregion name'!$P$3+VLOOKUP("Natural Gas", 'GHG Emissions'!$D$2:$M$66,8,FALSE)*'eGRID subregion name'!$P$4</f>
        <v>53.114800000000002</v>
      </c>
      <c r="I127" s="455">
        <f t="shared" si="12"/>
        <v>0</v>
      </c>
      <c r="J127" s="455">
        <f>'Sch4-Cost Savings by ECM'!U127</f>
        <v>0</v>
      </c>
      <c r="K12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7" s="455">
        <f t="shared" si="13"/>
        <v>0</v>
      </c>
      <c r="M127" s="455">
        <f>'Sch4-Cost Savings by ECM'!W127</f>
        <v>0</v>
      </c>
      <c r="N12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7" s="455">
        <f t="shared" si="14"/>
        <v>0</v>
      </c>
      <c r="P127" s="457">
        <f t="shared" si="11"/>
        <v>0</v>
      </c>
      <c r="Q127" s="455">
        <f>'Sch4-Cost Savings by ECM'!AA127</f>
        <v>0</v>
      </c>
      <c r="R127" s="455">
        <f t="shared" si="17"/>
        <v>0</v>
      </c>
      <c r="S127" s="455">
        <f t="shared" si="18"/>
        <v>0</v>
      </c>
      <c r="T127" s="455">
        <f t="shared" si="15"/>
        <v>0</v>
      </c>
    </row>
    <row r="128" spans="1:20" ht="17" thickBot="1">
      <c r="A128" s="75" t="str">
        <f>IF('Sch2a-Imp Price by ECM'!B129="","",'Sch2a-Imp Price by ECM'!B129)</f>
        <v/>
      </c>
      <c r="B128" s="174" t="str">
        <f>IF('Sch2a-Imp Price by ECM'!D129="","",'Sch2a-Imp Price by ECM'!D129)</f>
        <v/>
      </c>
      <c r="C128" s="458" t="s">
        <v>431</v>
      </c>
      <c r="D128" s="454">
        <f>'Sch4-Cost Savings by ECM'!O128</f>
        <v>0</v>
      </c>
      <c r="E128" s="454">
        <f>VLOOKUP(C128,'eGRID subregion name'!$A$2:$N$30,8,0)</f>
        <v>189.83531623683197</v>
      </c>
      <c r="F128" s="454">
        <f t="shared" si="16"/>
        <v>0</v>
      </c>
      <c r="G128" s="455">
        <f>'Sch4-Cost Savings by ECM'!S128</f>
        <v>0</v>
      </c>
      <c r="H128" s="455">
        <f>VLOOKUP("Natural Gas", 'GHG Emissions'!$D$2:$M$66,4,FALSE)+VLOOKUP("Natural Gas", 'GHG Emissions'!$D$2:$M$66,6,FALSE)*'eGRID subregion name'!$P$3+VLOOKUP("Natural Gas", 'GHG Emissions'!$D$2:$M$66,8,FALSE)*'eGRID subregion name'!$P$4</f>
        <v>53.114800000000002</v>
      </c>
      <c r="I128" s="455">
        <f t="shared" si="12"/>
        <v>0</v>
      </c>
      <c r="J128" s="455">
        <f>'Sch4-Cost Savings by ECM'!U128</f>
        <v>0</v>
      </c>
      <c r="K12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8" s="455">
        <f t="shared" si="13"/>
        <v>0</v>
      </c>
      <c r="M128" s="455">
        <f>'Sch4-Cost Savings by ECM'!W128</f>
        <v>0</v>
      </c>
      <c r="N12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8" s="455">
        <f t="shared" si="14"/>
        <v>0</v>
      </c>
      <c r="P128" s="457">
        <f t="shared" si="11"/>
        <v>0</v>
      </c>
      <c r="Q128" s="455">
        <f>'Sch4-Cost Savings by ECM'!AA128</f>
        <v>0</v>
      </c>
      <c r="R128" s="455">
        <f t="shared" si="17"/>
        <v>0</v>
      </c>
      <c r="S128" s="455">
        <f t="shared" si="18"/>
        <v>0</v>
      </c>
      <c r="T128" s="455">
        <f t="shared" si="15"/>
        <v>0</v>
      </c>
    </row>
    <row r="129" spans="1:20" ht="17" thickBot="1">
      <c r="A129" s="75" t="str">
        <f>IF('Sch2a-Imp Price by ECM'!B130="","",'Sch2a-Imp Price by ECM'!B130)</f>
        <v/>
      </c>
      <c r="B129" s="174" t="str">
        <f>IF('Sch2a-Imp Price by ECM'!D130="","",'Sch2a-Imp Price by ECM'!D130)</f>
        <v/>
      </c>
      <c r="C129" s="458" t="s">
        <v>431</v>
      </c>
      <c r="D129" s="454">
        <f>'Sch4-Cost Savings by ECM'!O129</f>
        <v>0</v>
      </c>
      <c r="E129" s="454">
        <f>VLOOKUP(C129,'eGRID subregion name'!$A$2:$N$30,8,0)</f>
        <v>189.83531623683197</v>
      </c>
      <c r="F129" s="454">
        <f t="shared" si="16"/>
        <v>0</v>
      </c>
      <c r="G129" s="455">
        <f>'Sch4-Cost Savings by ECM'!S129</f>
        <v>0</v>
      </c>
      <c r="H129" s="455">
        <f>VLOOKUP("Natural Gas", 'GHG Emissions'!$D$2:$M$66,4,FALSE)+VLOOKUP("Natural Gas", 'GHG Emissions'!$D$2:$M$66,6,FALSE)*'eGRID subregion name'!$P$3+VLOOKUP("Natural Gas", 'GHG Emissions'!$D$2:$M$66,8,FALSE)*'eGRID subregion name'!$P$4</f>
        <v>53.114800000000002</v>
      </c>
      <c r="I129" s="455">
        <f t="shared" si="12"/>
        <v>0</v>
      </c>
      <c r="J129" s="455">
        <f>'Sch4-Cost Savings by ECM'!U129</f>
        <v>0</v>
      </c>
      <c r="K12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29" s="455">
        <f t="shared" si="13"/>
        <v>0</v>
      </c>
      <c r="M129" s="455">
        <f>'Sch4-Cost Savings by ECM'!W129</f>
        <v>0</v>
      </c>
      <c r="N12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29" s="455">
        <f t="shared" si="14"/>
        <v>0</v>
      </c>
      <c r="P129" s="457">
        <f t="shared" si="11"/>
        <v>0</v>
      </c>
      <c r="Q129" s="455">
        <f>'Sch4-Cost Savings by ECM'!AA129</f>
        <v>0</v>
      </c>
      <c r="R129" s="455">
        <f t="shared" si="17"/>
        <v>0</v>
      </c>
      <c r="S129" s="455">
        <f t="shared" si="18"/>
        <v>0</v>
      </c>
      <c r="T129" s="455">
        <f t="shared" si="15"/>
        <v>0</v>
      </c>
    </row>
    <row r="130" spans="1:20" ht="17" thickBot="1">
      <c r="A130" s="75" t="str">
        <f>IF('Sch2a-Imp Price by ECM'!B131="","",'Sch2a-Imp Price by ECM'!B131)</f>
        <v/>
      </c>
      <c r="B130" s="174" t="str">
        <f>IF('Sch2a-Imp Price by ECM'!D131="","",'Sch2a-Imp Price by ECM'!D131)</f>
        <v/>
      </c>
      <c r="C130" s="458" t="s">
        <v>431</v>
      </c>
      <c r="D130" s="454">
        <f>'Sch4-Cost Savings by ECM'!O130</f>
        <v>0</v>
      </c>
      <c r="E130" s="454">
        <f>VLOOKUP(C130,'eGRID subregion name'!$A$2:$N$30,8,0)</f>
        <v>189.83531623683197</v>
      </c>
      <c r="F130" s="454">
        <f t="shared" si="16"/>
        <v>0</v>
      </c>
      <c r="G130" s="455">
        <f>'Sch4-Cost Savings by ECM'!S130</f>
        <v>0</v>
      </c>
      <c r="H130" s="455">
        <f>VLOOKUP("Natural Gas", 'GHG Emissions'!$D$2:$M$66,4,FALSE)+VLOOKUP("Natural Gas", 'GHG Emissions'!$D$2:$M$66,6,FALSE)*'eGRID subregion name'!$P$3+VLOOKUP("Natural Gas", 'GHG Emissions'!$D$2:$M$66,8,FALSE)*'eGRID subregion name'!$P$4</f>
        <v>53.114800000000002</v>
      </c>
      <c r="I130" s="455">
        <f t="shared" si="12"/>
        <v>0</v>
      </c>
      <c r="J130" s="455">
        <f>'Sch4-Cost Savings by ECM'!U130</f>
        <v>0</v>
      </c>
      <c r="K13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0" s="455">
        <f t="shared" si="13"/>
        <v>0</v>
      </c>
      <c r="M130" s="455">
        <f>'Sch4-Cost Savings by ECM'!W130</f>
        <v>0</v>
      </c>
      <c r="N13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0" s="455">
        <f t="shared" si="14"/>
        <v>0</v>
      </c>
      <c r="P130" s="457">
        <f t="shared" si="11"/>
        <v>0</v>
      </c>
      <c r="Q130" s="455">
        <f>'Sch4-Cost Savings by ECM'!AA130</f>
        <v>0</v>
      </c>
      <c r="R130" s="455">
        <f t="shared" si="17"/>
        <v>0</v>
      </c>
      <c r="S130" s="455">
        <f t="shared" si="18"/>
        <v>0</v>
      </c>
      <c r="T130" s="455">
        <f t="shared" si="15"/>
        <v>0</v>
      </c>
    </row>
    <row r="131" spans="1:20" ht="17" thickBot="1">
      <c r="A131" s="75" t="str">
        <f>IF('Sch2a-Imp Price by ECM'!B132="","",'Sch2a-Imp Price by ECM'!B132)</f>
        <v/>
      </c>
      <c r="B131" s="174" t="str">
        <f>IF('Sch2a-Imp Price by ECM'!D132="","",'Sch2a-Imp Price by ECM'!D132)</f>
        <v/>
      </c>
      <c r="C131" s="458" t="s">
        <v>431</v>
      </c>
      <c r="D131" s="454">
        <f>'Sch4-Cost Savings by ECM'!O131</f>
        <v>0</v>
      </c>
      <c r="E131" s="454">
        <f>VLOOKUP(C131,'eGRID subregion name'!$A$2:$N$30,8,0)</f>
        <v>189.83531623683197</v>
      </c>
      <c r="F131" s="454">
        <f t="shared" si="16"/>
        <v>0</v>
      </c>
      <c r="G131" s="455">
        <f>'Sch4-Cost Savings by ECM'!S131</f>
        <v>0</v>
      </c>
      <c r="H131" s="455">
        <f>VLOOKUP("Natural Gas", 'GHG Emissions'!$D$2:$M$66,4,FALSE)+VLOOKUP("Natural Gas", 'GHG Emissions'!$D$2:$M$66,6,FALSE)*'eGRID subregion name'!$P$3+VLOOKUP("Natural Gas", 'GHG Emissions'!$D$2:$M$66,8,FALSE)*'eGRID subregion name'!$P$4</f>
        <v>53.114800000000002</v>
      </c>
      <c r="I131" s="455">
        <f t="shared" si="12"/>
        <v>0</v>
      </c>
      <c r="J131" s="455">
        <f>'Sch4-Cost Savings by ECM'!U131</f>
        <v>0</v>
      </c>
      <c r="K13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1" s="455">
        <f t="shared" si="13"/>
        <v>0</v>
      </c>
      <c r="M131" s="455">
        <f>'Sch4-Cost Savings by ECM'!W131</f>
        <v>0</v>
      </c>
      <c r="N13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1" s="455">
        <f t="shared" si="14"/>
        <v>0</v>
      </c>
      <c r="P131" s="457">
        <f t="shared" si="11"/>
        <v>0</v>
      </c>
      <c r="Q131" s="455">
        <f>'Sch4-Cost Savings by ECM'!AA131</f>
        <v>0</v>
      </c>
      <c r="R131" s="455">
        <f t="shared" si="17"/>
        <v>0</v>
      </c>
      <c r="S131" s="455">
        <f t="shared" si="18"/>
        <v>0</v>
      </c>
      <c r="T131" s="455">
        <f t="shared" si="15"/>
        <v>0</v>
      </c>
    </row>
    <row r="132" spans="1:20" ht="17" thickBot="1">
      <c r="A132" s="75" t="str">
        <f>IF('Sch2a-Imp Price by ECM'!B133="","",'Sch2a-Imp Price by ECM'!B133)</f>
        <v/>
      </c>
      <c r="B132" s="174" t="str">
        <f>IF('Sch2a-Imp Price by ECM'!D133="","",'Sch2a-Imp Price by ECM'!D133)</f>
        <v/>
      </c>
      <c r="C132" s="458" t="s">
        <v>431</v>
      </c>
      <c r="D132" s="454">
        <f>'Sch4-Cost Savings by ECM'!O132</f>
        <v>0</v>
      </c>
      <c r="E132" s="454">
        <f>VLOOKUP(C132,'eGRID subregion name'!$A$2:$N$30,8,0)</f>
        <v>189.83531623683197</v>
      </c>
      <c r="F132" s="454">
        <f t="shared" si="16"/>
        <v>0</v>
      </c>
      <c r="G132" s="455">
        <f>'Sch4-Cost Savings by ECM'!S132</f>
        <v>0</v>
      </c>
      <c r="H132" s="455">
        <f>VLOOKUP("Natural Gas", 'GHG Emissions'!$D$2:$M$66,4,FALSE)+VLOOKUP("Natural Gas", 'GHG Emissions'!$D$2:$M$66,6,FALSE)*'eGRID subregion name'!$P$3+VLOOKUP("Natural Gas", 'GHG Emissions'!$D$2:$M$66,8,FALSE)*'eGRID subregion name'!$P$4</f>
        <v>53.114800000000002</v>
      </c>
      <c r="I132" s="455">
        <f t="shared" si="12"/>
        <v>0</v>
      </c>
      <c r="J132" s="455">
        <f>'Sch4-Cost Savings by ECM'!U132</f>
        <v>0</v>
      </c>
      <c r="K13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2" s="455">
        <f t="shared" si="13"/>
        <v>0</v>
      </c>
      <c r="M132" s="455">
        <f>'Sch4-Cost Savings by ECM'!W132</f>
        <v>0</v>
      </c>
      <c r="N13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2" s="455">
        <f t="shared" si="14"/>
        <v>0</v>
      </c>
      <c r="P132" s="457">
        <f t="shared" si="11"/>
        <v>0</v>
      </c>
      <c r="Q132" s="455">
        <f>'Sch4-Cost Savings by ECM'!AA132</f>
        <v>0</v>
      </c>
      <c r="R132" s="455">
        <f t="shared" si="17"/>
        <v>0</v>
      </c>
      <c r="S132" s="455">
        <f t="shared" si="18"/>
        <v>0</v>
      </c>
      <c r="T132" s="455">
        <f t="shared" si="15"/>
        <v>0</v>
      </c>
    </row>
    <row r="133" spans="1:20" ht="17" thickBot="1">
      <c r="A133" s="75" t="str">
        <f>IF('Sch2a-Imp Price by ECM'!B134="","",'Sch2a-Imp Price by ECM'!B134)</f>
        <v/>
      </c>
      <c r="B133" s="174" t="str">
        <f>IF('Sch2a-Imp Price by ECM'!D134="","",'Sch2a-Imp Price by ECM'!D134)</f>
        <v/>
      </c>
      <c r="C133" s="458" t="s">
        <v>431</v>
      </c>
      <c r="D133" s="454">
        <f>'Sch4-Cost Savings by ECM'!O133</f>
        <v>0</v>
      </c>
      <c r="E133" s="454">
        <f>VLOOKUP(C133,'eGRID subregion name'!$A$2:$N$30,8,0)</f>
        <v>189.83531623683197</v>
      </c>
      <c r="F133" s="454">
        <f t="shared" si="16"/>
        <v>0</v>
      </c>
      <c r="G133" s="455">
        <f>'Sch4-Cost Savings by ECM'!S133</f>
        <v>0</v>
      </c>
      <c r="H133" s="455">
        <f>VLOOKUP("Natural Gas", 'GHG Emissions'!$D$2:$M$66,4,FALSE)+VLOOKUP("Natural Gas", 'GHG Emissions'!$D$2:$M$66,6,FALSE)*'eGRID subregion name'!$P$3+VLOOKUP("Natural Gas", 'GHG Emissions'!$D$2:$M$66,8,FALSE)*'eGRID subregion name'!$P$4</f>
        <v>53.114800000000002</v>
      </c>
      <c r="I133" s="455">
        <f t="shared" si="12"/>
        <v>0</v>
      </c>
      <c r="J133" s="455">
        <f>'Sch4-Cost Savings by ECM'!U133</f>
        <v>0</v>
      </c>
      <c r="K13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3" s="455">
        <f t="shared" si="13"/>
        <v>0</v>
      </c>
      <c r="M133" s="455">
        <f>'Sch4-Cost Savings by ECM'!W133</f>
        <v>0</v>
      </c>
      <c r="N13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3" s="455">
        <f t="shared" si="14"/>
        <v>0</v>
      </c>
      <c r="P133" s="457">
        <f t="shared" si="11"/>
        <v>0</v>
      </c>
      <c r="Q133" s="455">
        <f>'Sch4-Cost Savings by ECM'!AA133</f>
        <v>0</v>
      </c>
      <c r="R133" s="455">
        <f t="shared" si="17"/>
        <v>0</v>
      </c>
      <c r="S133" s="455">
        <f t="shared" si="18"/>
        <v>0</v>
      </c>
      <c r="T133" s="455">
        <f t="shared" si="15"/>
        <v>0</v>
      </c>
    </row>
    <row r="134" spans="1:20" ht="17" thickBot="1">
      <c r="A134" s="75" t="str">
        <f>IF('Sch2a-Imp Price by ECM'!B135="","",'Sch2a-Imp Price by ECM'!B135)</f>
        <v/>
      </c>
      <c r="B134" s="174" t="str">
        <f>IF('Sch2a-Imp Price by ECM'!D135="","",'Sch2a-Imp Price by ECM'!D135)</f>
        <v/>
      </c>
      <c r="C134" s="458" t="s">
        <v>431</v>
      </c>
      <c r="D134" s="454">
        <f>'Sch4-Cost Savings by ECM'!O134</f>
        <v>0</v>
      </c>
      <c r="E134" s="454">
        <f>VLOOKUP(C134,'eGRID subregion name'!$A$2:$N$30,8,0)</f>
        <v>189.83531623683197</v>
      </c>
      <c r="F134" s="454">
        <f t="shared" si="16"/>
        <v>0</v>
      </c>
      <c r="G134" s="455">
        <f>'Sch4-Cost Savings by ECM'!S134</f>
        <v>0</v>
      </c>
      <c r="H134" s="455">
        <f>VLOOKUP("Natural Gas", 'GHG Emissions'!$D$2:$M$66,4,FALSE)+VLOOKUP("Natural Gas", 'GHG Emissions'!$D$2:$M$66,6,FALSE)*'eGRID subregion name'!$P$3+VLOOKUP("Natural Gas", 'GHG Emissions'!$D$2:$M$66,8,FALSE)*'eGRID subregion name'!$P$4</f>
        <v>53.114800000000002</v>
      </c>
      <c r="I134" s="455">
        <f t="shared" si="12"/>
        <v>0</v>
      </c>
      <c r="J134" s="455">
        <f>'Sch4-Cost Savings by ECM'!U134</f>
        <v>0</v>
      </c>
      <c r="K13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4" s="455">
        <f t="shared" si="13"/>
        <v>0</v>
      </c>
      <c r="M134" s="455">
        <f>'Sch4-Cost Savings by ECM'!W134</f>
        <v>0</v>
      </c>
      <c r="N13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4" s="455">
        <f t="shared" si="14"/>
        <v>0</v>
      </c>
      <c r="P134" s="457">
        <f t="shared" si="11"/>
        <v>0</v>
      </c>
      <c r="Q134" s="455">
        <f>'Sch4-Cost Savings by ECM'!AA134</f>
        <v>0</v>
      </c>
      <c r="R134" s="455">
        <f t="shared" si="17"/>
        <v>0</v>
      </c>
      <c r="S134" s="455">
        <f t="shared" si="18"/>
        <v>0</v>
      </c>
      <c r="T134" s="455">
        <f t="shared" si="15"/>
        <v>0</v>
      </c>
    </row>
    <row r="135" spans="1:20" ht="17" thickBot="1">
      <c r="A135" s="75" t="str">
        <f>IF('Sch2a-Imp Price by ECM'!B136="","",'Sch2a-Imp Price by ECM'!B136)</f>
        <v/>
      </c>
      <c r="B135" s="174" t="str">
        <f>IF('Sch2a-Imp Price by ECM'!D136="","",'Sch2a-Imp Price by ECM'!D136)</f>
        <v/>
      </c>
      <c r="C135" s="458" t="s">
        <v>431</v>
      </c>
      <c r="D135" s="454">
        <f>'Sch4-Cost Savings by ECM'!O135</f>
        <v>0</v>
      </c>
      <c r="E135" s="454">
        <f>VLOOKUP(C135,'eGRID subregion name'!$A$2:$N$30,8,0)</f>
        <v>189.83531623683197</v>
      </c>
      <c r="F135" s="454">
        <f t="shared" si="16"/>
        <v>0</v>
      </c>
      <c r="G135" s="455">
        <f>'Sch4-Cost Savings by ECM'!S135</f>
        <v>0</v>
      </c>
      <c r="H135" s="455">
        <f>VLOOKUP("Natural Gas", 'GHG Emissions'!$D$2:$M$66,4,FALSE)+VLOOKUP("Natural Gas", 'GHG Emissions'!$D$2:$M$66,6,FALSE)*'eGRID subregion name'!$P$3+VLOOKUP("Natural Gas", 'GHG Emissions'!$D$2:$M$66,8,FALSE)*'eGRID subregion name'!$P$4</f>
        <v>53.114800000000002</v>
      </c>
      <c r="I135" s="455">
        <f t="shared" si="12"/>
        <v>0</v>
      </c>
      <c r="J135" s="455">
        <f>'Sch4-Cost Savings by ECM'!U135</f>
        <v>0</v>
      </c>
      <c r="K13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5" s="455">
        <f t="shared" si="13"/>
        <v>0</v>
      </c>
      <c r="M135" s="455">
        <f>'Sch4-Cost Savings by ECM'!W135</f>
        <v>0</v>
      </c>
      <c r="N13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5" s="455">
        <f t="shared" si="14"/>
        <v>0</v>
      </c>
      <c r="P135" s="457">
        <f t="shared" si="11"/>
        <v>0</v>
      </c>
      <c r="Q135" s="455">
        <f>'Sch4-Cost Savings by ECM'!AA135</f>
        <v>0</v>
      </c>
      <c r="R135" s="455">
        <f t="shared" si="17"/>
        <v>0</v>
      </c>
      <c r="S135" s="455">
        <f t="shared" si="18"/>
        <v>0</v>
      </c>
      <c r="T135" s="455">
        <f t="shared" si="15"/>
        <v>0</v>
      </c>
    </row>
    <row r="136" spans="1:20" ht="17" thickBot="1">
      <c r="A136" s="75" t="str">
        <f>IF('Sch2a-Imp Price by ECM'!B137="","",'Sch2a-Imp Price by ECM'!B137)</f>
        <v/>
      </c>
      <c r="B136" s="174" t="str">
        <f>IF('Sch2a-Imp Price by ECM'!D137="","",'Sch2a-Imp Price by ECM'!D137)</f>
        <v/>
      </c>
      <c r="C136" s="458" t="s">
        <v>431</v>
      </c>
      <c r="D136" s="454">
        <f>'Sch4-Cost Savings by ECM'!O136</f>
        <v>0</v>
      </c>
      <c r="E136" s="454">
        <f>VLOOKUP(C136,'eGRID subregion name'!$A$2:$N$30,8,0)</f>
        <v>189.83531623683197</v>
      </c>
      <c r="F136" s="454">
        <f t="shared" si="16"/>
        <v>0</v>
      </c>
      <c r="G136" s="455">
        <f>'Sch4-Cost Savings by ECM'!S136</f>
        <v>0</v>
      </c>
      <c r="H136" s="455">
        <f>VLOOKUP("Natural Gas", 'GHG Emissions'!$D$2:$M$66,4,FALSE)+VLOOKUP("Natural Gas", 'GHG Emissions'!$D$2:$M$66,6,FALSE)*'eGRID subregion name'!$P$3+VLOOKUP("Natural Gas", 'GHG Emissions'!$D$2:$M$66,8,FALSE)*'eGRID subregion name'!$P$4</f>
        <v>53.114800000000002</v>
      </c>
      <c r="I136" s="455">
        <f t="shared" si="12"/>
        <v>0</v>
      </c>
      <c r="J136" s="455">
        <f>'Sch4-Cost Savings by ECM'!U136</f>
        <v>0</v>
      </c>
      <c r="K13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6" s="455">
        <f t="shared" si="13"/>
        <v>0</v>
      </c>
      <c r="M136" s="455">
        <f>'Sch4-Cost Savings by ECM'!W136</f>
        <v>0</v>
      </c>
      <c r="N13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6" s="455">
        <f t="shared" si="14"/>
        <v>0</v>
      </c>
      <c r="P136" s="457">
        <f t="shared" ref="P136:P199" si="19">(D136*3412/10^6)+G136+J136+M136</f>
        <v>0</v>
      </c>
      <c r="Q136" s="455">
        <f>'Sch4-Cost Savings by ECM'!AA136</f>
        <v>0</v>
      </c>
      <c r="R136" s="455">
        <f t="shared" si="17"/>
        <v>0</v>
      </c>
      <c r="S136" s="455">
        <f t="shared" si="18"/>
        <v>0</v>
      </c>
      <c r="T136" s="455">
        <f t="shared" si="15"/>
        <v>0</v>
      </c>
    </row>
    <row r="137" spans="1:20" ht="17" thickBot="1">
      <c r="A137" s="75" t="str">
        <f>IF('Sch2a-Imp Price by ECM'!B138="","",'Sch2a-Imp Price by ECM'!B138)</f>
        <v/>
      </c>
      <c r="B137" s="174" t="str">
        <f>IF('Sch2a-Imp Price by ECM'!D138="","",'Sch2a-Imp Price by ECM'!D138)</f>
        <v/>
      </c>
      <c r="C137" s="458" t="s">
        <v>431</v>
      </c>
      <c r="D137" s="454">
        <f>'Sch4-Cost Savings by ECM'!O137</f>
        <v>0</v>
      </c>
      <c r="E137" s="454">
        <f>VLOOKUP(C137,'eGRID subregion name'!$A$2:$N$30,8,0)</f>
        <v>189.83531623683197</v>
      </c>
      <c r="F137" s="454">
        <f t="shared" si="16"/>
        <v>0</v>
      </c>
      <c r="G137" s="455">
        <f>'Sch4-Cost Savings by ECM'!S137</f>
        <v>0</v>
      </c>
      <c r="H137" s="455">
        <f>VLOOKUP("Natural Gas", 'GHG Emissions'!$D$2:$M$66,4,FALSE)+VLOOKUP("Natural Gas", 'GHG Emissions'!$D$2:$M$66,6,FALSE)*'eGRID subregion name'!$P$3+VLOOKUP("Natural Gas", 'GHG Emissions'!$D$2:$M$66,8,FALSE)*'eGRID subregion name'!$P$4</f>
        <v>53.114800000000002</v>
      </c>
      <c r="I137" s="455">
        <f t="shared" ref="I137:I200" si="20">G137*H137</f>
        <v>0</v>
      </c>
      <c r="J137" s="455">
        <f>'Sch4-Cost Savings by ECM'!U137</f>
        <v>0</v>
      </c>
      <c r="K13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7" s="455">
        <f t="shared" ref="L137:L200" si="21">K137*J137</f>
        <v>0</v>
      </c>
      <c r="M137" s="455">
        <f>'Sch4-Cost Savings by ECM'!W137</f>
        <v>0</v>
      </c>
      <c r="N13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7" s="455">
        <f t="shared" ref="O137:O200" si="22">M137*N137</f>
        <v>0</v>
      </c>
      <c r="P137" s="457">
        <f t="shared" si="19"/>
        <v>0</v>
      </c>
      <c r="Q137" s="455">
        <f>'Sch4-Cost Savings by ECM'!AA137</f>
        <v>0</v>
      </c>
      <c r="R137" s="455">
        <f t="shared" si="17"/>
        <v>0</v>
      </c>
      <c r="S137" s="455">
        <f t="shared" si="18"/>
        <v>0</v>
      </c>
      <c r="T137" s="455">
        <f t="shared" ref="T137:T200" si="23">R137+S137</f>
        <v>0</v>
      </c>
    </row>
    <row r="138" spans="1:20" ht="17" thickBot="1">
      <c r="A138" s="75" t="str">
        <f>IF('Sch2a-Imp Price by ECM'!B139="","",'Sch2a-Imp Price by ECM'!B139)</f>
        <v/>
      </c>
      <c r="B138" s="174" t="str">
        <f>IF('Sch2a-Imp Price by ECM'!D139="","",'Sch2a-Imp Price by ECM'!D139)</f>
        <v/>
      </c>
      <c r="C138" s="458" t="s">
        <v>431</v>
      </c>
      <c r="D138" s="454">
        <f>'Sch4-Cost Savings by ECM'!O138</f>
        <v>0</v>
      </c>
      <c r="E138" s="454">
        <f>VLOOKUP(C138,'eGRID subregion name'!$A$2:$N$30,8,0)</f>
        <v>189.83531623683197</v>
      </c>
      <c r="F138" s="454">
        <f t="shared" ref="F138:F201" si="24">D138*3412*E138/1000000</f>
        <v>0</v>
      </c>
      <c r="G138" s="455">
        <f>'Sch4-Cost Savings by ECM'!S138</f>
        <v>0</v>
      </c>
      <c r="H138" s="455">
        <f>VLOOKUP("Natural Gas", 'GHG Emissions'!$D$2:$M$66,4,FALSE)+VLOOKUP("Natural Gas", 'GHG Emissions'!$D$2:$M$66,6,FALSE)*'eGRID subregion name'!$P$3+VLOOKUP("Natural Gas", 'GHG Emissions'!$D$2:$M$66,8,FALSE)*'eGRID subregion name'!$P$4</f>
        <v>53.114800000000002</v>
      </c>
      <c r="I138" s="455">
        <f t="shared" si="20"/>
        <v>0</v>
      </c>
      <c r="J138" s="455">
        <f>'Sch4-Cost Savings by ECM'!U138</f>
        <v>0</v>
      </c>
      <c r="K13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8" s="455">
        <f t="shared" si="21"/>
        <v>0</v>
      </c>
      <c r="M138" s="455">
        <f>'Sch4-Cost Savings by ECM'!W138</f>
        <v>0</v>
      </c>
      <c r="N13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8" s="455">
        <f t="shared" si="22"/>
        <v>0</v>
      </c>
      <c r="P138" s="457">
        <f t="shared" si="19"/>
        <v>0</v>
      </c>
      <c r="Q138" s="455">
        <f>'Sch4-Cost Savings by ECM'!AA138</f>
        <v>0</v>
      </c>
      <c r="R138" s="455">
        <f t="shared" ref="R138:R201" si="25">I138+(IF($L$5&lt;&gt;"Other Savings Type 1: Chilled Water",L138,0)+IF($O$5&lt;&gt;"Other Savings Type 2: Chilled Water",O138,0))</f>
        <v>0</v>
      </c>
      <c r="S138" s="455">
        <f t="shared" ref="S138:S201" si="26">F138+(IF($L$5="Other Savings Type 1: Chilled Water",L138,0)+IF($O$5="Other Savings Type 2: Chilled Water",O138,0))</f>
        <v>0</v>
      </c>
      <c r="T138" s="455">
        <f t="shared" si="23"/>
        <v>0</v>
      </c>
    </row>
    <row r="139" spans="1:20" ht="18" customHeight="1" thickBot="1">
      <c r="A139" s="75" t="str">
        <f>IF('Sch2a-Imp Price by ECM'!B140="","",'Sch2a-Imp Price by ECM'!B140)</f>
        <v/>
      </c>
      <c r="B139" s="174" t="str">
        <f>IF('Sch2a-Imp Price by ECM'!D140="","",'Sch2a-Imp Price by ECM'!D140)</f>
        <v/>
      </c>
      <c r="C139" s="458" t="s">
        <v>431</v>
      </c>
      <c r="D139" s="454">
        <f>'Sch4-Cost Savings by ECM'!O139</f>
        <v>0</v>
      </c>
      <c r="E139" s="454">
        <f>VLOOKUP(C139,'eGRID subregion name'!$A$2:$N$30,8,0)</f>
        <v>189.83531623683197</v>
      </c>
      <c r="F139" s="454">
        <f t="shared" si="24"/>
        <v>0</v>
      </c>
      <c r="G139" s="455">
        <f>'Sch4-Cost Savings by ECM'!S139</f>
        <v>0</v>
      </c>
      <c r="H139" s="455">
        <f>VLOOKUP("Natural Gas", 'GHG Emissions'!$D$2:$M$66,4,FALSE)+VLOOKUP("Natural Gas", 'GHG Emissions'!$D$2:$M$66,6,FALSE)*'eGRID subregion name'!$P$3+VLOOKUP("Natural Gas", 'GHG Emissions'!$D$2:$M$66,8,FALSE)*'eGRID subregion name'!$P$4</f>
        <v>53.114800000000002</v>
      </c>
      <c r="I139" s="455">
        <f t="shared" si="20"/>
        <v>0</v>
      </c>
      <c r="J139" s="455">
        <f>'Sch4-Cost Savings by ECM'!U139</f>
        <v>0</v>
      </c>
      <c r="K13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39" s="455">
        <f t="shared" si="21"/>
        <v>0</v>
      </c>
      <c r="M139" s="455">
        <f>'Sch4-Cost Savings by ECM'!W139</f>
        <v>0</v>
      </c>
      <c r="N13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39" s="455">
        <f t="shared" si="22"/>
        <v>0</v>
      </c>
      <c r="P139" s="457">
        <f t="shared" si="19"/>
        <v>0</v>
      </c>
      <c r="Q139" s="455">
        <f>'Sch4-Cost Savings by ECM'!AA139</f>
        <v>0</v>
      </c>
      <c r="R139" s="455">
        <f t="shared" si="25"/>
        <v>0</v>
      </c>
      <c r="S139" s="455">
        <f t="shared" si="26"/>
        <v>0</v>
      </c>
      <c r="T139" s="455">
        <f t="shared" si="23"/>
        <v>0</v>
      </c>
    </row>
    <row r="140" spans="1:20" ht="17" thickBot="1">
      <c r="A140" s="75" t="str">
        <f>IF('Sch2a-Imp Price by ECM'!B141="","",'Sch2a-Imp Price by ECM'!B141)</f>
        <v/>
      </c>
      <c r="B140" s="174" t="str">
        <f>IF('Sch2a-Imp Price by ECM'!D141="","",'Sch2a-Imp Price by ECM'!D141)</f>
        <v/>
      </c>
      <c r="C140" s="458" t="s">
        <v>431</v>
      </c>
      <c r="D140" s="454">
        <f>'Sch4-Cost Savings by ECM'!O140</f>
        <v>0</v>
      </c>
      <c r="E140" s="454">
        <f>VLOOKUP(C140,'eGRID subregion name'!$A$2:$N$30,8,0)</f>
        <v>189.83531623683197</v>
      </c>
      <c r="F140" s="454">
        <f t="shared" si="24"/>
        <v>0</v>
      </c>
      <c r="G140" s="455">
        <f>'Sch4-Cost Savings by ECM'!S140</f>
        <v>0</v>
      </c>
      <c r="H140" s="455">
        <f>VLOOKUP("Natural Gas", 'GHG Emissions'!$D$2:$M$66,4,FALSE)+VLOOKUP("Natural Gas", 'GHG Emissions'!$D$2:$M$66,6,FALSE)*'eGRID subregion name'!$P$3+VLOOKUP("Natural Gas", 'GHG Emissions'!$D$2:$M$66,8,FALSE)*'eGRID subregion name'!$P$4</f>
        <v>53.114800000000002</v>
      </c>
      <c r="I140" s="455">
        <f t="shared" si="20"/>
        <v>0</v>
      </c>
      <c r="J140" s="455">
        <f>'Sch4-Cost Savings by ECM'!U140</f>
        <v>0</v>
      </c>
      <c r="K14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0" s="455">
        <f t="shared" si="21"/>
        <v>0</v>
      </c>
      <c r="M140" s="455">
        <f>'Sch4-Cost Savings by ECM'!W140</f>
        <v>0</v>
      </c>
      <c r="N14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0" s="455">
        <f t="shared" si="22"/>
        <v>0</v>
      </c>
      <c r="P140" s="457">
        <f t="shared" si="19"/>
        <v>0</v>
      </c>
      <c r="Q140" s="455">
        <f>'Sch4-Cost Savings by ECM'!AA140</f>
        <v>0</v>
      </c>
      <c r="R140" s="455">
        <f t="shared" si="25"/>
        <v>0</v>
      </c>
      <c r="S140" s="455">
        <f t="shared" si="26"/>
        <v>0</v>
      </c>
      <c r="T140" s="455">
        <f t="shared" si="23"/>
        <v>0</v>
      </c>
    </row>
    <row r="141" spans="1:20" ht="17" thickBot="1">
      <c r="A141" s="75" t="str">
        <f>IF('Sch2a-Imp Price by ECM'!B142="","",'Sch2a-Imp Price by ECM'!B142)</f>
        <v/>
      </c>
      <c r="B141" s="174" t="str">
        <f>IF('Sch2a-Imp Price by ECM'!D142="","",'Sch2a-Imp Price by ECM'!D142)</f>
        <v/>
      </c>
      <c r="C141" s="458" t="s">
        <v>431</v>
      </c>
      <c r="D141" s="454">
        <f>'Sch4-Cost Savings by ECM'!O141</f>
        <v>0</v>
      </c>
      <c r="E141" s="454">
        <f>VLOOKUP(C141,'eGRID subregion name'!$A$2:$N$30,8,0)</f>
        <v>189.83531623683197</v>
      </c>
      <c r="F141" s="454">
        <f t="shared" si="24"/>
        <v>0</v>
      </c>
      <c r="G141" s="455">
        <f>'Sch4-Cost Savings by ECM'!S141</f>
        <v>0</v>
      </c>
      <c r="H141" s="455">
        <f>VLOOKUP("Natural Gas", 'GHG Emissions'!$D$2:$M$66,4,FALSE)+VLOOKUP("Natural Gas", 'GHG Emissions'!$D$2:$M$66,6,FALSE)*'eGRID subregion name'!$P$3+VLOOKUP("Natural Gas", 'GHG Emissions'!$D$2:$M$66,8,FALSE)*'eGRID subregion name'!$P$4</f>
        <v>53.114800000000002</v>
      </c>
      <c r="I141" s="455">
        <f t="shared" si="20"/>
        <v>0</v>
      </c>
      <c r="J141" s="455">
        <f>'Sch4-Cost Savings by ECM'!U141</f>
        <v>0</v>
      </c>
      <c r="K14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1" s="455">
        <f t="shared" si="21"/>
        <v>0</v>
      </c>
      <c r="M141" s="455">
        <f>'Sch4-Cost Savings by ECM'!W141</f>
        <v>0</v>
      </c>
      <c r="N14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1" s="455">
        <f t="shared" si="22"/>
        <v>0</v>
      </c>
      <c r="P141" s="457">
        <f t="shared" si="19"/>
        <v>0</v>
      </c>
      <c r="Q141" s="455">
        <f>'Sch4-Cost Savings by ECM'!AA141</f>
        <v>0</v>
      </c>
      <c r="R141" s="455">
        <f t="shared" si="25"/>
        <v>0</v>
      </c>
      <c r="S141" s="455">
        <f t="shared" si="26"/>
        <v>0</v>
      </c>
      <c r="T141" s="455">
        <f t="shared" si="23"/>
        <v>0</v>
      </c>
    </row>
    <row r="142" spans="1:20" ht="17" thickBot="1">
      <c r="A142" s="75" t="str">
        <f>IF('Sch2a-Imp Price by ECM'!B143="","",'Sch2a-Imp Price by ECM'!B143)</f>
        <v/>
      </c>
      <c r="B142" s="174" t="str">
        <f>IF('Sch2a-Imp Price by ECM'!D143="","",'Sch2a-Imp Price by ECM'!D143)</f>
        <v/>
      </c>
      <c r="C142" s="458" t="s">
        <v>431</v>
      </c>
      <c r="D142" s="454">
        <f>'Sch4-Cost Savings by ECM'!O142</f>
        <v>0</v>
      </c>
      <c r="E142" s="454">
        <f>VLOOKUP(C142,'eGRID subregion name'!$A$2:$N$30,8,0)</f>
        <v>189.83531623683197</v>
      </c>
      <c r="F142" s="454">
        <f t="shared" si="24"/>
        <v>0</v>
      </c>
      <c r="G142" s="455">
        <f>'Sch4-Cost Savings by ECM'!S142</f>
        <v>0</v>
      </c>
      <c r="H142" s="455">
        <f>VLOOKUP("Natural Gas", 'GHG Emissions'!$D$2:$M$66,4,FALSE)+VLOOKUP("Natural Gas", 'GHG Emissions'!$D$2:$M$66,6,FALSE)*'eGRID subregion name'!$P$3+VLOOKUP("Natural Gas", 'GHG Emissions'!$D$2:$M$66,8,FALSE)*'eGRID subregion name'!$P$4</f>
        <v>53.114800000000002</v>
      </c>
      <c r="I142" s="455">
        <f t="shared" si="20"/>
        <v>0</v>
      </c>
      <c r="J142" s="455">
        <f>'Sch4-Cost Savings by ECM'!U142</f>
        <v>0</v>
      </c>
      <c r="K14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2" s="455">
        <f t="shared" si="21"/>
        <v>0</v>
      </c>
      <c r="M142" s="455">
        <f>'Sch4-Cost Savings by ECM'!W142</f>
        <v>0</v>
      </c>
      <c r="N14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2" s="455">
        <f t="shared" si="22"/>
        <v>0</v>
      </c>
      <c r="P142" s="457">
        <f t="shared" si="19"/>
        <v>0</v>
      </c>
      <c r="Q142" s="455">
        <f>'Sch4-Cost Savings by ECM'!AA142</f>
        <v>0</v>
      </c>
      <c r="R142" s="455">
        <f t="shared" si="25"/>
        <v>0</v>
      </c>
      <c r="S142" s="455">
        <f t="shared" si="26"/>
        <v>0</v>
      </c>
      <c r="T142" s="455">
        <f t="shared" si="23"/>
        <v>0</v>
      </c>
    </row>
    <row r="143" spans="1:20" ht="17" thickBot="1">
      <c r="A143" s="75" t="str">
        <f>IF('Sch2a-Imp Price by ECM'!B144="","",'Sch2a-Imp Price by ECM'!B144)</f>
        <v/>
      </c>
      <c r="B143" s="174" t="str">
        <f>IF('Sch2a-Imp Price by ECM'!D144="","",'Sch2a-Imp Price by ECM'!D144)</f>
        <v/>
      </c>
      <c r="C143" s="458" t="s">
        <v>431</v>
      </c>
      <c r="D143" s="454">
        <f>'Sch4-Cost Savings by ECM'!O143</f>
        <v>0</v>
      </c>
      <c r="E143" s="454">
        <f>VLOOKUP(C143,'eGRID subregion name'!$A$2:$N$30,8,0)</f>
        <v>189.83531623683197</v>
      </c>
      <c r="F143" s="454">
        <f t="shared" si="24"/>
        <v>0</v>
      </c>
      <c r="G143" s="455">
        <f>'Sch4-Cost Savings by ECM'!S143</f>
        <v>0</v>
      </c>
      <c r="H143" s="455">
        <f>VLOOKUP("Natural Gas", 'GHG Emissions'!$D$2:$M$66,4,FALSE)+VLOOKUP("Natural Gas", 'GHG Emissions'!$D$2:$M$66,6,FALSE)*'eGRID subregion name'!$P$3+VLOOKUP("Natural Gas", 'GHG Emissions'!$D$2:$M$66,8,FALSE)*'eGRID subregion name'!$P$4</f>
        <v>53.114800000000002</v>
      </c>
      <c r="I143" s="455">
        <f t="shared" si="20"/>
        <v>0</v>
      </c>
      <c r="J143" s="455">
        <f>'Sch4-Cost Savings by ECM'!U143</f>
        <v>0</v>
      </c>
      <c r="K14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3" s="455">
        <f t="shared" si="21"/>
        <v>0</v>
      </c>
      <c r="M143" s="455">
        <f>'Sch4-Cost Savings by ECM'!W143</f>
        <v>0</v>
      </c>
      <c r="N14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3" s="455">
        <f t="shared" si="22"/>
        <v>0</v>
      </c>
      <c r="P143" s="457">
        <f t="shared" si="19"/>
        <v>0</v>
      </c>
      <c r="Q143" s="455">
        <f>'Sch4-Cost Savings by ECM'!AA143</f>
        <v>0</v>
      </c>
      <c r="R143" s="455">
        <f t="shared" si="25"/>
        <v>0</v>
      </c>
      <c r="S143" s="455">
        <f t="shared" si="26"/>
        <v>0</v>
      </c>
      <c r="T143" s="455">
        <f t="shared" si="23"/>
        <v>0</v>
      </c>
    </row>
    <row r="144" spans="1:20" ht="17" thickBot="1">
      <c r="A144" s="75" t="str">
        <f>IF('Sch2a-Imp Price by ECM'!B145="","",'Sch2a-Imp Price by ECM'!B145)</f>
        <v/>
      </c>
      <c r="B144" s="174" t="str">
        <f>IF('Sch2a-Imp Price by ECM'!D145="","",'Sch2a-Imp Price by ECM'!D145)</f>
        <v/>
      </c>
      <c r="C144" s="458" t="s">
        <v>431</v>
      </c>
      <c r="D144" s="454">
        <f>'Sch4-Cost Savings by ECM'!O144</f>
        <v>0</v>
      </c>
      <c r="E144" s="454">
        <f>VLOOKUP(C144,'eGRID subregion name'!$A$2:$N$30,8,0)</f>
        <v>189.83531623683197</v>
      </c>
      <c r="F144" s="454">
        <f t="shared" si="24"/>
        <v>0</v>
      </c>
      <c r="G144" s="455">
        <f>'Sch4-Cost Savings by ECM'!S144</f>
        <v>0</v>
      </c>
      <c r="H144" s="455">
        <f>VLOOKUP("Natural Gas", 'GHG Emissions'!$D$2:$M$66,4,FALSE)+VLOOKUP("Natural Gas", 'GHG Emissions'!$D$2:$M$66,6,FALSE)*'eGRID subregion name'!$P$3+VLOOKUP("Natural Gas", 'GHG Emissions'!$D$2:$M$66,8,FALSE)*'eGRID subregion name'!$P$4</f>
        <v>53.114800000000002</v>
      </c>
      <c r="I144" s="455">
        <f t="shared" si="20"/>
        <v>0</v>
      </c>
      <c r="J144" s="455">
        <f>'Sch4-Cost Savings by ECM'!U144</f>
        <v>0</v>
      </c>
      <c r="K14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4" s="455">
        <f t="shared" si="21"/>
        <v>0</v>
      </c>
      <c r="M144" s="455">
        <f>'Sch4-Cost Savings by ECM'!W144</f>
        <v>0</v>
      </c>
      <c r="N14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4" s="455">
        <f t="shared" si="22"/>
        <v>0</v>
      </c>
      <c r="P144" s="457">
        <f t="shared" si="19"/>
        <v>0</v>
      </c>
      <c r="Q144" s="455">
        <f>'Sch4-Cost Savings by ECM'!AA144</f>
        <v>0</v>
      </c>
      <c r="R144" s="455">
        <f t="shared" si="25"/>
        <v>0</v>
      </c>
      <c r="S144" s="455">
        <f t="shared" si="26"/>
        <v>0</v>
      </c>
      <c r="T144" s="455">
        <f t="shared" si="23"/>
        <v>0</v>
      </c>
    </row>
    <row r="145" spans="1:20" ht="17" thickBot="1">
      <c r="A145" s="75" t="str">
        <f>IF('Sch2a-Imp Price by ECM'!B146="","",'Sch2a-Imp Price by ECM'!B146)</f>
        <v/>
      </c>
      <c r="B145" s="174" t="str">
        <f>IF('Sch2a-Imp Price by ECM'!D146="","",'Sch2a-Imp Price by ECM'!D146)</f>
        <v/>
      </c>
      <c r="C145" s="458" t="s">
        <v>431</v>
      </c>
      <c r="D145" s="454">
        <f>'Sch4-Cost Savings by ECM'!O145</f>
        <v>0</v>
      </c>
      <c r="E145" s="454">
        <f>VLOOKUP(C145,'eGRID subregion name'!$A$2:$N$30,8,0)</f>
        <v>189.83531623683197</v>
      </c>
      <c r="F145" s="454">
        <f t="shared" si="24"/>
        <v>0</v>
      </c>
      <c r="G145" s="455">
        <f>'Sch4-Cost Savings by ECM'!S145</f>
        <v>0</v>
      </c>
      <c r="H145" s="455">
        <f>VLOOKUP("Natural Gas", 'GHG Emissions'!$D$2:$M$66,4,FALSE)+VLOOKUP("Natural Gas", 'GHG Emissions'!$D$2:$M$66,6,FALSE)*'eGRID subregion name'!$P$3+VLOOKUP("Natural Gas", 'GHG Emissions'!$D$2:$M$66,8,FALSE)*'eGRID subregion name'!$P$4</f>
        <v>53.114800000000002</v>
      </c>
      <c r="I145" s="455">
        <f t="shared" si="20"/>
        <v>0</v>
      </c>
      <c r="J145" s="455">
        <f>'Sch4-Cost Savings by ECM'!U145</f>
        <v>0</v>
      </c>
      <c r="K14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5" s="455">
        <f t="shared" si="21"/>
        <v>0</v>
      </c>
      <c r="M145" s="455">
        <f>'Sch4-Cost Savings by ECM'!W145</f>
        <v>0</v>
      </c>
      <c r="N14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5" s="455">
        <f t="shared" si="22"/>
        <v>0</v>
      </c>
      <c r="P145" s="457">
        <f t="shared" si="19"/>
        <v>0</v>
      </c>
      <c r="Q145" s="455">
        <f>'Sch4-Cost Savings by ECM'!AA145</f>
        <v>0</v>
      </c>
      <c r="R145" s="455">
        <f t="shared" si="25"/>
        <v>0</v>
      </c>
      <c r="S145" s="455">
        <f t="shared" si="26"/>
        <v>0</v>
      </c>
      <c r="T145" s="455">
        <f t="shared" si="23"/>
        <v>0</v>
      </c>
    </row>
    <row r="146" spans="1:20" ht="17" thickBot="1">
      <c r="A146" s="75" t="str">
        <f>IF('Sch2a-Imp Price by ECM'!B147="","",'Sch2a-Imp Price by ECM'!B147)</f>
        <v/>
      </c>
      <c r="B146" s="174" t="str">
        <f>IF('Sch2a-Imp Price by ECM'!D147="","",'Sch2a-Imp Price by ECM'!D147)</f>
        <v/>
      </c>
      <c r="C146" s="458" t="s">
        <v>431</v>
      </c>
      <c r="D146" s="454">
        <f>'Sch4-Cost Savings by ECM'!O146</f>
        <v>0</v>
      </c>
      <c r="E146" s="454">
        <f>VLOOKUP(C146,'eGRID subregion name'!$A$2:$N$30,8,0)</f>
        <v>189.83531623683197</v>
      </c>
      <c r="F146" s="454">
        <f t="shared" si="24"/>
        <v>0</v>
      </c>
      <c r="G146" s="455">
        <f>'Sch4-Cost Savings by ECM'!S146</f>
        <v>0</v>
      </c>
      <c r="H146" s="455">
        <f>VLOOKUP("Natural Gas", 'GHG Emissions'!$D$2:$M$66,4,FALSE)+VLOOKUP("Natural Gas", 'GHG Emissions'!$D$2:$M$66,6,FALSE)*'eGRID subregion name'!$P$3+VLOOKUP("Natural Gas", 'GHG Emissions'!$D$2:$M$66,8,FALSE)*'eGRID subregion name'!$P$4</f>
        <v>53.114800000000002</v>
      </c>
      <c r="I146" s="455">
        <f t="shared" si="20"/>
        <v>0</v>
      </c>
      <c r="J146" s="455">
        <f>'Sch4-Cost Savings by ECM'!U146</f>
        <v>0</v>
      </c>
      <c r="K14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6" s="455">
        <f t="shared" si="21"/>
        <v>0</v>
      </c>
      <c r="M146" s="455">
        <f>'Sch4-Cost Savings by ECM'!W146</f>
        <v>0</v>
      </c>
      <c r="N14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6" s="455">
        <f t="shared" si="22"/>
        <v>0</v>
      </c>
      <c r="P146" s="457">
        <f t="shared" si="19"/>
        <v>0</v>
      </c>
      <c r="Q146" s="455">
        <f>'Sch4-Cost Savings by ECM'!AA146</f>
        <v>0</v>
      </c>
      <c r="R146" s="455">
        <f t="shared" si="25"/>
        <v>0</v>
      </c>
      <c r="S146" s="455">
        <f t="shared" si="26"/>
        <v>0</v>
      </c>
      <c r="T146" s="455">
        <f t="shared" si="23"/>
        <v>0</v>
      </c>
    </row>
    <row r="147" spans="1:20" ht="17" thickBot="1">
      <c r="A147" s="75" t="str">
        <f>IF('Sch2a-Imp Price by ECM'!B148="","",'Sch2a-Imp Price by ECM'!B148)</f>
        <v/>
      </c>
      <c r="B147" s="174" t="str">
        <f>IF('Sch2a-Imp Price by ECM'!D148="","",'Sch2a-Imp Price by ECM'!D148)</f>
        <v/>
      </c>
      <c r="C147" s="458" t="s">
        <v>431</v>
      </c>
      <c r="D147" s="454">
        <f>'Sch4-Cost Savings by ECM'!O147</f>
        <v>0</v>
      </c>
      <c r="E147" s="454">
        <f>VLOOKUP(C147,'eGRID subregion name'!$A$2:$N$30,8,0)</f>
        <v>189.83531623683197</v>
      </c>
      <c r="F147" s="454">
        <f t="shared" si="24"/>
        <v>0</v>
      </c>
      <c r="G147" s="455">
        <f>'Sch4-Cost Savings by ECM'!S147</f>
        <v>0</v>
      </c>
      <c r="H147" s="455">
        <f>VLOOKUP("Natural Gas", 'GHG Emissions'!$D$2:$M$66,4,FALSE)+VLOOKUP("Natural Gas", 'GHG Emissions'!$D$2:$M$66,6,FALSE)*'eGRID subregion name'!$P$3+VLOOKUP("Natural Gas", 'GHG Emissions'!$D$2:$M$66,8,FALSE)*'eGRID subregion name'!$P$4</f>
        <v>53.114800000000002</v>
      </c>
      <c r="I147" s="455">
        <f t="shared" si="20"/>
        <v>0</v>
      </c>
      <c r="J147" s="455">
        <f>'Sch4-Cost Savings by ECM'!U147</f>
        <v>0</v>
      </c>
      <c r="K14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7" s="455">
        <f t="shared" si="21"/>
        <v>0</v>
      </c>
      <c r="M147" s="455">
        <f>'Sch4-Cost Savings by ECM'!W147</f>
        <v>0</v>
      </c>
      <c r="N14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7" s="455">
        <f t="shared" si="22"/>
        <v>0</v>
      </c>
      <c r="P147" s="457">
        <f t="shared" si="19"/>
        <v>0</v>
      </c>
      <c r="Q147" s="455">
        <f>'Sch4-Cost Savings by ECM'!AA147</f>
        <v>0</v>
      </c>
      <c r="R147" s="455">
        <f t="shared" si="25"/>
        <v>0</v>
      </c>
      <c r="S147" s="455">
        <f t="shared" si="26"/>
        <v>0</v>
      </c>
      <c r="T147" s="455">
        <f t="shared" si="23"/>
        <v>0</v>
      </c>
    </row>
    <row r="148" spans="1:20" ht="17" thickBot="1">
      <c r="A148" s="75" t="str">
        <f>IF('Sch2a-Imp Price by ECM'!B149="","",'Sch2a-Imp Price by ECM'!B149)</f>
        <v/>
      </c>
      <c r="B148" s="174" t="str">
        <f>IF('Sch2a-Imp Price by ECM'!D149="","",'Sch2a-Imp Price by ECM'!D149)</f>
        <v/>
      </c>
      <c r="C148" s="458" t="s">
        <v>431</v>
      </c>
      <c r="D148" s="454">
        <f>'Sch4-Cost Savings by ECM'!O148</f>
        <v>0</v>
      </c>
      <c r="E148" s="454">
        <f>VLOOKUP(C148,'eGRID subregion name'!$A$2:$N$30,8,0)</f>
        <v>189.83531623683197</v>
      </c>
      <c r="F148" s="454">
        <f t="shared" si="24"/>
        <v>0</v>
      </c>
      <c r="G148" s="455">
        <f>'Sch4-Cost Savings by ECM'!S148</f>
        <v>0</v>
      </c>
      <c r="H148" s="455">
        <f>VLOOKUP("Natural Gas", 'GHG Emissions'!$D$2:$M$66,4,FALSE)+VLOOKUP("Natural Gas", 'GHG Emissions'!$D$2:$M$66,6,FALSE)*'eGRID subregion name'!$P$3+VLOOKUP("Natural Gas", 'GHG Emissions'!$D$2:$M$66,8,FALSE)*'eGRID subregion name'!$P$4</f>
        <v>53.114800000000002</v>
      </c>
      <c r="I148" s="455">
        <f t="shared" si="20"/>
        <v>0</v>
      </c>
      <c r="J148" s="455">
        <f>'Sch4-Cost Savings by ECM'!U148</f>
        <v>0</v>
      </c>
      <c r="K14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8" s="455">
        <f t="shared" si="21"/>
        <v>0</v>
      </c>
      <c r="M148" s="455">
        <f>'Sch4-Cost Savings by ECM'!W148</f>
        <v>0</v>
      </c>
      <c r="N14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8" s="455">
        <f t="shared" si="22"/>
        <v>0</v>
      </c>
      <c r="P148" s="457">
        <f t="shared" si="19"/>
        <v>0</v>
      </c>
      <c r="Q148" s="455">
        <f>'Sch4-Cost Savings by ECM'!AA148</f>
        <v>0</v>
      </c>
      <c r="R148" s="455">
        <f t="shared" si="25"/>
        <v>0</v>
      </c>
      <c r="S148" s="455">
        <f t="shared" si="26"/>
        <v>0</v>
      </c>
      <c r="T148" s="455">
        <f t="shared" si="23"/>
        <v>0</v>
      </c>
    </row>
    <row r="149" spans="1:20" ht="17" thickBot="1">
      <c r="A149" s="75" t="str">
        <f>IF('Sch2a-Imp Price by ECM'!B150="","",'Sch2a-Imp Price by ECM'!B150)</f>
        <v/>
      </c>
      <c r="B149" s="174" t="str">
        <f>IF('Sch2a-Imp Price by ECM'!D150="","",'Sch2a-Imp Price by ECM'!D150)</f>
        <v/>
      </c>
      <c r="C149" s="458" t="s">
        <v>431</v>
      </c>
      <c r="D149" s="454">
        <f>'Sch4-Cost Savings by ECM'!O149</f>
        <v>0</v>
      </c>
      <c r="E149" s="454">
        <f>VLOOKUP(C149,'eGRID subregion name'!$A$2:$N$30,8,0)</f>
        <v>189.83531623683197</v>
      </c>
      <c r="F149" s="454">
        <f t="shared" si="24"/>
        <v>0</v>
      </c>
      <c r="G149" s="455">
        <f>'Sch4-Cost Savings by ECM'!S149</f>
        <v>0</v>
      </c>
      <c r="H149" s="455">
        <f>VLOOKUP("Natural Gas", 'GHG Emissions'!$D$2:$M$66,4,FALSE)+VLOOKUP("Natural Gas", 'GHG Emissions'!$D$2:$M$66,6,FALSE)*'eGRID subregion name'!$P$3+VLOOKUP("Natural Gas", 'GHG Emissions'!$D$2:$M$66,8,FALSE)*'eGRID subregion name'!$P$4</f>
        <v>53.114800000000002</v>
      </c>
      <c r="I149" s="455">
        <f t="shared" si="20"/>
        <v>0</v>
      </c>
      <c r="J149" s="455">
        <f>'Sch4-Cost Savings by ECM'!U149</f>
        <v>0</v>
      </c>
      <c r="K14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49" s="455">
        <f t="shared" si="21"/>
        <v>0</v>
      </c>
      <c r="M149" s="455">
        <f>'Sch4-Cost Savings by ECM'!W149</f>
        <v>0</v>
      </c>
      <c r="N14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49" s="455">
        <f t="shared" si="22"/>
        <v>0</v>
      </c>
      <c r="P149" s="457">
        <f t="shared" si="19"/>
        <v>0</v>
      </c>
      <c r="Q149" s="455">
        <f>'Sch4-Cost Savings by ECM'!AA149</f>
        <v>0</v>
      </c>
      <c r="R149" s="455">
        <f t="shared" si="25"/>
        <v>0</v>
      </c>
      <c r="S149" s="455">
        <f t="shared" si="26"/>
        <v>0</v>
      </c>
      <c r="T149" s="455">
        <f t="shared" si="23"/>
        <v>0</v>
      </c>
    </row>
    <row r="150" spans="1:20" ht="17" thickBot="1">
      <c r="A150" s="75" t="str">
        <f>IF('Sch2a-Imp Price by ECM'!B151="","",'Sch2a-Imp Price by ECM'!B151)</f>
        <v/>
      </c>
      <c r="B150" s="174" t="str">
        <f>IF('Sch2a-Imp Price by ECM'!D151="","",'Sch2a-Imp Price by ECM'!D151)</f>
        <v/>
      </c>
      <c r="C150" s="458" t="s">
        <v>431</v>
      </c>
      <c r="D150" s="454">
        <f>'Sch4-Cost Savings by ECM'!O150</f>
        <v>0</v>
      </c>
      <c r="E150" s="454">
        <f>VLOOKUP(C150,'eGRID subregion name'!$A$2:$N$30,8,0)</f>
        <v>189.83531623683197</v>
      </c>
      <c r="F150" s="454">
        <f t="shared" si="24"/>
        <v>0</v>
      </c>
      <c r="G150" s="455">
        <f>'Sch4-Cost Savings by ECM'!S150</f>
        <v>0</v>
      </c>
      <c r="H150" s="455">
        <f>VLOOKUP("Natural Gas", 'GHG Emissions'!$D$2:$M$66,4,FALSE)+VLOOKUP("Natural Gas", 'GHG Emissions'!$D$2:$M$66,6,FALSE)*'eGRID subregion name'!$P$3+VLOOKUP("Natural Gas", 'GHG Emissions'!$D$2:$M$66,8,FALSE)*'eGRID subregion name'!$P$4</f>
        <v>53.114800000000002</v>
      </c>
      <c r="I150" s="455">
        <f t="shared" si="20"/>
        <v>0</v>
      </c>
      <c r="J150" s="455">
        <f>'Sch4-Cost Savings by ECM'!U150</f>
        <v>0</v>
      </c>
      <c r="K15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0" s="455">
        <f t="shared" si="21"/>
        <v>0</v>
      </c>
      <c r="M150" s="455">
        <f>'Sch4-Cost Savings by ECM'!W150</f>
        <v>0</v>
      </c>
      <c r="N15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0" s="455">
        <f t="shared" si="22"/>
        <v>0</v>
      </c>
      <c r="P150" s="457">
        <f t="shared" si="19"/>
        <v>0</v>
      </c>
      <c r="Q150" s="455">
        <f>'Sch4-Cost Savings by ECM'!AA150</f>
        <v>0</v>
      </c>
      <c r="R150" s="455">
        <f t="shared" si="25"/>
        <v>0</v>
      </c>
      <c r="S150" s="455">
        <f t="shared" si="26"/>
        <v>0</v>
      </c>
      <c r="T150" s="455">
        <f t="shared" si="23"/>
        <v>0</v>
      </c>
    </row>
    <row r="151" spans="1:20" ht="17" thickBot="1">
      <c r="A151" s="75" t="str">
        <f>IF('Sch2a-Imp Price by ECM'!B152="","",'Sch2a-Imp Price by ECM'!B152)</f>
        <v/>
      </c>
      <c r="B151" s="174" t="str">
        <f>IF('Sch2a-Imp Price by ECM'!D152="","",'Sch2a-Imp Price by ECM'!D152)</f>
        <v/>
      </c>
      <c r="C151" s="458" t="s">
        <v>431</v>
      </c>
      <c r="D151" s="454">
        <f>'Sch4-Cost Savings by ECM'!O151</f>
        <v>0</v>
      </c>
      <c r="E151" s="454">
        <f>VLOOKUP(C151,'eGRID subregion name'!$A$2:$N$30,8,0)</f>
        <v>189.83531623683197</v>
      </c>
      <c r="F151" s="454">
        <f t="shared" si="24"/>
        <v>0</v>
      </c>
      <c r="G151" s="455">
        <f>'Sch4-Cost Savings by ECM'!S151</f>
        <v>0</v>
      </c>
      <c r="H151" s="455">
        <f>VLOOKUP("Natural Gas", 'GHG Emissions'!$D$2:$M$66,4,FALSE)+VLOOKUP("Natural Gas", 'GHG Emissions'!$D$2:$M$66,6,FALSE)*'eGRID subregion name'!$P$3+VLOOKUP("Natural Gas", 'GHG Emissions'!$D$2:$M$66,8,FALSE)*'eGRID subregion name'!$P$4</f>
        <v>53.114800000000002</v>
      </c>
      <c r="I151" s="455">
        <f t="shared" si="20"/>
        <v>0</v>
      </c>
      <c r="J151" s="455">
        <f>'Sch4-Cost Savings by ECM'!U151</f>
        <v>0</v>
      </c>
      <c r="K15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1" s="455">
        <f t="shared" si="21"/>
        <v>0</v>
      </c>
      <c r="M151" s="455">
        <f>'Sch4-Cost Savings by ECM'!W151</f>
        <v>0</v>
      </c>
      <c r="N15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1" s="455">
        <f t="shared" si="22"/>
        <v>0</v>
      </c>
      <c r="P151" s="457">
        <f t="shared" si="19"/>
        <v>0</v>
      </c>
      <c r="Q151" s="455">
        <f>'Sch4-Cost Savings by ECM'!AA151</f>
        <v>0</v>
      </c>
      <c r="R151" s="455">
        <f t="shared" si="25"/>
        <v>0</v>
      </c>
      <c r="S151" s="455">
        <f t="shared" si="26"/>
        <v>0</v>
      </c>
      <c r="T151" s="455">
        <f t="shared" si="23"/>
        <v>0</v>
      </c>
    </row>
    <row r="152" spans="1:20" ht="17" thickBot="1">
      <c r="A152" s="75" t="str">
        <f>IF('Sch2a-Imp Price by ECM'!B153="","",'Sch2a-Imp Price by ECM'!B153)</f>
        <v/>
      </c>
      <c r="B152" s="174" t="str">
        <f>IF('Sch2a-Imp Price by ECM'!D153="","",'Sch2a-Imp Price by ECM'!D153)</f>
        <v/>
      </c>
      <c r="C152" s="458" t="s">
        <v>431</v>
      </c>
      <c r="D152" s="454">
        <f>'Sch4-Cost Savings by ECM'!O152</f>
        <v>0</v>
      </c>
      <c r="E152" s="454">
        <f>VLOOKUP(C152,'eGRID subregion name'!$A$2:$N$30,8,0)</f>
        <v>189.83531623683197</v>
      </c>
      <c r="F152" s="454">
        <f t="shared" si="24"/>
        <v>0</v>
      </c>
      <c r="G152" s="455">
        <f>'Sch4-Cost Savings by ECM'!S152</f>
        <v>0</v>
      </c>
      <c r="H152" s="455">
        <f>VLOOKUP("Natural Gas", 'GHG Emissions'!$D$2:$M$66,4,FALSE)+VLOOKUP("Natural Gas", 'GHG Emissions'!$D$2:$M$66,6,FALSE)*'eGRID subregion name'!$P$3+VLOOKUP("Natural Gas", 'GHG Emissions'!$D$2:$M$66,8,FALSE)*'eGRID subregion name'!$P$4</f>
        <v>53.114800000000002</v>
      </c>
      <c r="I152" s="455">
        <f t="shared" si="20"/>
        <v>0</v>
      </c>
      <c r="J152" s="455">
        <f>'Sch4-Cost Savings by ECM'!U152</f>
        <v>0</v>
      </c>
      <c r="K15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2" s="455">
        <f t="shared" si="21"/>
        <v>0</v>
      </c>
      <c r="M152" s="455">
        <f>'Sch4-Cost Savings by ECM'!W152</f>
        <v>0</v>
      </c>
      <c r="N15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2" s="455">
        <f t="shared" si="22"/>
        <v>0</v>
      </c>
      <c r="P152" s="457">
        <f t="shared" si="19"/>
        <v>0</v>
      </c>
      <c r="Q152" s="455">
        <f>'Sch4-Cost Savings by ECM'!AA152</f>
        <v>0</v>
      </c>
      <c r="R152" s="455">
        <f t="shared" si="25"/>
        <v>0</v>
      </c>
      <c r="S152" s="455">
        <f t="shared" si="26"/>
        <v>0</v>
      </c>
      <c r="T152" s="455">
        <f t="shared" si="23"/>
        <v>0</v>
      </c>
    </row>
    <row r="153" spans="1:20" ht="17" thickBot="1">
      <c r="A153" s="75" t="str">
        <f>IF('Sch2a-Imp Price by ECM'!B154="","",'Sch2a-Imp Price by ECM'!B154)</f>
        <v/>
      </c>
      <c r="B153" s="174" t="str">
        <f>IF('Sch2a-Imp Price by ECM'!D154="","",'Sch2a-Imp Price by ECM'!D154)</f>
        <v/>
      </c>
      <c r="C153" s="458" t="s">
        <v>431</v>
      </c>
      <c r="D153" s="454">
        <f>'Sch4-Cost Savings by ECM'!O153</f>
        <v>0</v>
      </c>
      <c r="E153" s="454">
        <f>VLOOKUP(C153,'eGRID subregion name'!$A$2:$N$30,8,0)</f>
        <v>189.83531623683197</v>
      </c>
      <c r="F153" s="454">
        <f t="shared" si="24"/>
        <v>0</v>
      </c>
      <c r="G153" s="455">
        <f>'Sch4-Cost Savings by ECM'!S153</f>
        <v>0</v>
      </c>
      <c r="H153" s="455">
        <f>VLOOKUP("Natural Gas", 'GHG Emissions'!$D$2:$M$66,4,FALSE)+VLOOKUP("Natural Gas", 'GHG Emissions'!$D$2:$M$66,6,FALSE)*'eGRID subregion name'!$P$3+VLOOKUP("Natural Gas", 'GHG Emissions'!$D$2:$M$66,8,FALSE)*'eGRID subregion name'!$P$4</f>
        <v>53.114800000000002</v>
      </c>
      <c r="I153" s="455">
        <f t="shared" si="20"/>
        <v>0</v>
      </c>
      <c r="J153" s="455">
        <f>'Sch4-Cost Savings by ECM'!U153</f>
        <v>0</v>
      </c>
      <c r="K15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3" s="455">
        <f t="shared" si="21"/>
        <v>0</v>
      </c>
      <c r="M153" s="455">
        <f>'Sch4-Cost Savings by ECM'!W153</f>
        <v>0</v>
      </c>
      <c r="N15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3" s="455">
        <f t="shared" si="22"/>
        <v>0</v>
      </c>
      <c r="P153" s="457">
        <f t="shared" si="19"/>
        <v>0</v>
      </c>
      <c r="Q153" s="455">
        <f>'Sch4-Cost Savings by ECM'!AA153</f>
        <v>0</v>
      </c>
      <c r="R153" s="455">
        <f t="shared" si="25"/>
        <v>0</v>
      </c>
      <c r="S153" s="455">
        <f t="shared" si="26"/>
        <v>0</v>
      </c>
      <c r="T153" s="455">
        <f t="shared" si="23"/>
        <v>0</v>
      </c>
    </row>
    <row r="154" spans="1:20" ht="17" thickBot="1">
      <c r="A154" s="75" t="str">
        <f>IF('Sch2a-Imp Price by ECM'!B155="","",'Sch2a-Imp Price by ECM'!B155)</f>
        <v/>
      </c>
      <c r="B154" s="174" t="str">
        <f>IF('Sch2a-Imp Price by ECM'!D155="","",'Sch2a-Imp Price by ECM'!D155)</f>
        <v/>
      </c>
      <c r="C154" s="458" t="s">
        <v>431</v>
      </c>
      <c r="D154" s="454">
        <f>'Sch4-Cost Savings by ECM'!O154</f>
        <v>0</v>
      </c>
      <c r="E154" s="454">
        <f>VLOOKUP(C154,'eGRID subregion name'!$A$2:$N$30,8,0)</f>
        <v>189.83531623683197</v>
      </c>
      <c r="F154" s="454">
        <f t="shared" si="24"/>
        <v>0</v>
      </c>
      <c r="G154" s="455">
        <f>'Sch4-Cost Savings by ECM'!S154</f>
        <v>0</v>
      </c>
      <c r="H154" s="455">
        <f>VLOOKUP("Natural Gas", 'GHG Emissions'!$D$2:$M$66,4,FALSE)+VLOOKUP("Natural Gas", 'GHG Emissions'!$D$2:$M$66,6,FALSE)*'eGRID subregion name'!$P$3+VLOOKUP("Natural Gas", 'GHG Emissions'!$D$2:$M$66,8,FALSE)*'eGRID subregion name'!$P$4</f>
        <v>53.114800000000002</v>
      </c>
      <c r="I154" s="455">
        <f t="shared" si="20"/>
        <v>0</v>
      </c>
      <c r="J154" s="455">
        <f>'Sch4-Cost Savings by ECM'!U154</f>
        <v>0</v>
      </c>
      <c r="K15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4" s="455">
        <f t="shared" si="21"/>
        <v>0</v>
      </c>
      <c r="M154" s="455">
        <f>'Sch4-Cost Savings by ECM'!W154</f>
        <v>0</v>
      </c>
      <c r="N15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4" s="455">
        <f t="shared" si="22"/>
        <v>0</v>
      </c>
      <c r="P154" s="457">
        <f t="shared" si="19"/>
        <v>0</v>
      </c>
      <c r="Q154" s="455">
        <f>'Sch4-Cost Savings by ECM'!AA154</f>
        <v>0</v>
      </c>
      <c r="R154" s="455">
        <f t="shared" si="25"/>
        <v>0</v>
      </c>
      <c r="S154" s="455">
        <f t="shared" si="26"/>
        <v>0</v>
      </c>
      <c r="T154" s="455">
        <f t="shared" si="23"/>
        <v>0</v>
      </c>
    </row>
    <row r="155" spans="1:20" ht="17" thickBot="1">
      <c r="A155" s="75" t="str">
        <f>IF('Sch2a-Imp Price by ECM'!B156="","",'Sch2a-Imp Price by ECM'!B156)</f>
        <v/>
      </c>
      <c r="B155" s="174" t="str">
        <f>IF('Sch2a-Imp Price by ECM'!D156="","",'Sch2a-Imp Price by ECM'!D156)</f>
        <v/>
      </c>
      <c r="C155" s="458" t="s">
        <v>431</v>
      </c>
      <c r="D155" s="454">
        <f>'Sch4-Cost Savings by ECM'!O155</f>
        <v>0</v>
      </c>
      <c r="E155" s="454">
        <f>VLOOKUP(C155,'eGRID subregion name'!$A$2:$N$30,8,0)</f>
        <v>189.83531623683197</v>
      </c>
      <c r="F155" s="454">
        <f t="shared" si="24"/>
        <v>0</v>
      </c>
      <c r="G155" s="455">
        <f>'Sch4-Cost Savings by ECM'!S155</f>
        <v>0</v>
      </c>
      <c r="H155" s="455">
        <f>VLOOKUP("Natural Gas", 'GHG Emissions'!$D$2:$M$66,4,FALSE)+VLOOKUP("Natural Gas", 'GHG Emissions'!$D$2:$M$66,6,FALSE)*'eGRID subregion name'!$P$3+VLOOKUP("Natural Gas", 'GHG Emissions'!$D$2:$M$66,8,FALSE)*'eGRID subregion name'!$P$4</f>
        <v>53.114800000000002</v>
      </c>
      <c r="I155" s="455">
        <f t="shared" si="20"/>
        <v>0</v>
      </c>
      <c r="J155" s="455">
        <f>'Sch4-Cost Savings by ECM'!U155</f>
        <v>0</v>
      </c>
      <c r="K15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5" s="455">
        <f t="shared" si="21"/>
        <v>0</v>
      </c>
      <c r="M155" s="455">
        <f>'Sch4-Cost Savings by ECM'!W155</f>
        <v>0</v>
      </c>
      <c r="N15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5" s="455">
        <f t="shared" si="22"/>
        <v>0</v>
      </c>
      <c r="P155" s="457">
        <f t="shared" si="19"/>
        <v>0</v>
      </c>
      <c r="Q155" s="455">
        <f>'Sch4-Cost Savings by ECM'!AA155</f>
        <v>0</v>
      </c>
      <c r="R155" s="455">
        <f t="shared" si="25"/>
        <v>0</v>
      </c>
      <c r="S155" s="455">
        <f t="shared" si="26"/>
        <v>0</v>
      </c>
      <c r="T155" s="455">
        <f t="shared" si="23"/>
        <v>0</v>
      </c>
    </row>
    <row r="156" spans="1:20" ht="17" thickBot="1">
      <c r="A156" s="75" t="str">
        <f>IF('Sch2a-Imp Price by ECM'!B157="","",'Sch2a-Imp Price by ECM'!B157)</f>
        <v/>
      </c>
      <c r="B156" s="174" t="str">
        <f>IF('Sch2a-Imp Price by ECM'!D157="","",'Sch2a-Imp Price by ECM'!D157)</f>
        <v/>
      </c>
      <c r="C156" s="458" t="s">
        <v>431</v>
      </c>
      <c r="D156" s="454">
        <f>'Sch4-Cost Savings by ECM'!O156</f>
        <v>0</v>
      </c>
      <c r="E156" s="454">
        <f>VLOOKUP(C156,'eGRID subregion name'!$A$2:$N$30,8,0)</f>
        <v>189.83531623683197</v>
      </c>
      <c r="F156" s="454">
        <f t="shared" si="24"/>
        <v>0</v>
      </c>
      <c r="G156" s="455">
        <f>'Sch4-Cost Savings by ECM'!S156</f>
        <v>0</v>
      </c>
      <c r="H156" s="455">
        <f>VLOOKUP("Natural Gas", 'GHG Emissions'!$D$2:$M$66,4,FALSE)+VLOOKUP("Natural Gas", 'GHG Emissions'!$D$2:$M$66,6,FALSE)*'eGRID subregion name'!$P$3+VLOOKUP("Natural Gas", 'GHG Emissions'!$D$2:$M$66,8,FALSE)*'eGRID subregion name'!$P$4</f>
        <v>53.114800000000002</v>
      </c>
      <c r="I156" s="455">
        <f t="shared" si="20"/>
        <v>0</v>
      </c>
      <c r="J156" s="455">
        <f>'Sch4-Cost Savings by ECM'!U156</f>
        <v>0</v>
      </c>
      <c r="K15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6" s="455">
        <f t="shared" si="21"/>
        <v>0</v>
      </c>
      <c r="M156" s="455">
        <f>'Sch4-Cost Savings by ECM'!W156</f>
        <v>0</v>
      </c>
      <c r="N15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6" s="455">
        <f t="shared" si="22"/>
        <v>0</v>
      </c>
      <c r="P156" s="457">
        <f t="shared" si="19"/>
        <v>0</v>
      </c>
      <c r="Q156" s="455">
        <f>'Sch4-Cost Savings by ECM'!AA156</f>
        <v>0</v>
      </c>
      <c r="R156" s="455">
        <f t="shared" si="25"/>
        <v>0</v>
      </c>
      <c r="S156" s="455">
        <f t="shared" si="26"/>
        <v>0</v>
      </c>
      <c r="T156" s="455">
        <f t="shared" si="23"/>
        <v>0</v>
      </c>
    </row>
    <row r="157" spans="1:20" ht="17" thickBot="1">
      <c r="A157" s="75" t="str">
        <f>IF('Sch2a-Imp Price by ECM'!B158="","",'Sch2a-Imp Price by ECM'!B158)</f>
        <v/>
      </c>
      <c r="B157" s="174" t="str">
        <f>IF('Sch2a-Imp Price by ECM'!D158="","",'Sch2a-Imp Price by ECM'!D158)</f>
        <v/>
      </c>
      <c r="C157" s="458" t="s">
        <v>431</v>
      </c>
      <c r="D157" s="454">
        <f>'Sch4-Cost Savings by ECM'!O157</f>
        <v>0</v>
      </c>
      <c r="E157" s="454">
        <f>VLOOKUP(C157,'eGRID subregion name'!$A$2:$N$30,8,0)</f>
        <v>189.83531623683197</v>
      </c>
      <c r="F157" s="454">
        <f t="shared" si="24"/>
        <v>0</v>
      </c>
      <c r="G157" s="455">
        <f>'Sch4-Cost Savings by ECM'!S157</f>
        <v>0</v>
      </c>
      <c r="H157" s="455">
        <f>VLOOKUP("Natural Gas", 'GHG Emissions'!$D$2:$M$66,4,FALSE)+VLOOKUP("Natural Gas", 'GHG Emissions'!$D$2:$M$66,6,FALSE)*'eGRID subregion name'!$P$3+VLOOKUP("Natural Gas", 'GHG Emissions'!$D$2:$M$66,8,FALSE)*'eGRID subregion name'!$P$4</f>
        <v>53.114800000000002</v>
      </c>
      <c r="I157" s="455">
        <f t="shared" si="20"/>
        <v>0</v>
      </c>
      <c r="J157" s="455">
        <f>'Sch4-Cost Savings by ECM'!U157</f>
        <v>0</v>
      </c>
      <c r="K15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7" s="455">
        <f t="shared" si="21"/>
        <v>0</v>
      </c>
      <c r="M157" s="455">
        <f>'Sch4-Cost Savings by ECM'!W157</f>
        <v>0</v>
      </c>
      <c r="N15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7" s="455">
        <f t="shared" si="22"/>
        <v>0</v>
      </c>
      <c r="P157" s="457">
        <f t="shared" si="19"/>
        <v>0</v>
      </c>
      <c r="Q157" s="455">
        <f>'Sch4-Cost Savings by ECM'!AA157</f>
        <v>0</v>
      </c>
      <c r="R157" s="455">
        <f t="shared" si="25"/>
        <v>0</v>
      </c>
      <c r="S157" s="455">
        <f t="shared" si="26"/>
        <v>0</v>
      </c>
      <c r="T157" s="455">
        <f t="shared" si="23"/>
        <v>0</v>
      </c>
    </row>
    <row r="158" spans="1:20" ht="17" thickBot="1">
      <c r="A158" s="75" t="str">
        <f>IF('Sch2a-Imp Price by ECM'!B159="","",'Sch2a-Imp Price by ECM'!B159)</f>
        <v/>
      </c>
      <c r="B158" s="174" t="str">
        <f>IF('Sch2a-Imp Price by ECM'!D159="","",'Sch2a-Imp Price by ECM'!D159)</f>
        <v/>
      </c>
      <c r="C158" s="458" t="s">
        <v>431</v>
      </c>
      <c r="D158" s="454">
        <f>'Sch4-Cost Savings by ECM'!O158</f>
        <v>0</v>
      </c>
      <c r="E158" s="454">
        <f>VLOOKUP(C158,'eGRID subregion name'!$A$2:$N$30,8,0)</f>
        <v>189.83531623683197</v>
      </c>
      <c r="F158" s="454">
        <f t="shared" si="24"/>
        <v>0</v>
      </c>
      <c r="G158" s="455">
        <f>'Sch4-Cost Savings by ECM'!S158</f>
        <v>0</v>
      </c>
      <c r="H158" s="455">
        <f>VLOOKUP("Natural Gas", 'GHG Emissions'!$D$2:$M$66,4,FALSE)+VLOOKUP("Natural Gas", 'GHG Emissions'!$D$2:$M$66,6,FALSE)*'eGRID subregion name'!$P$3+VLOOKUP("Natural Gas", 'GHG Emissions'!$D$2:$M$66,8,FALSE)*'eGRID subregion name'!$P$4</f>
        <v>53.114800000000002</v>
      </c>
      <c r="I158" s="455">
        <f t="shared" si="20"/>
        <v>0</v>
      </c>
      <c r="J158" s="455">
        <f>'Sch4-Cost Savings by ECM'!U158</f>
        <v>0</v>
      </c>
      <c r="K15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8" s="455">
        <f t="shared" si="21"/>
        <v>0</v>
      </c>
      <c r="M158" s="455">
        <f>'Sch4-Cost Savings by ECM'!W158</f>
        <v>0</v>
      </c>
      <c r="N15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8" s="455">
        <f t="shared" si="22"/>
        <v>0</v>
      </c>
      <c r="P158" s="457">
        <f t="shared" si="19"/>
        <v>0</v>
      </c>
      <c r="Q158" s="455">
        <f>'Sch4-Cost Savings by ECM'!AA158</f>
        <v>0</v>
      </c>
      <c r="R158" s="455">
        <f t="shared" si="25"/>
        <v>0</v>
      </c>
      <c r="S158" s="455">
        <f t="shared" si="26"/>
        <v>0</v>
      </c>
      <c r="T158" s="455">
        <f t="shared" si="23"/>
        <v>0</v>
      </c>
    </row>
    <row r="159" spans="1:20" ht="17" thickBot="1">
      <c r="A159" s="75" t="str">
        <f>IF('Sch2a-Imp Price by ECM'!B160="","",'Sch2a-Imp Price by ECM'!B160)</f>
        <v/>
      </c>
      <c r="B159" s="174" t="str">
        <f>IF('Sch2a-Imp Price by ECM'!D160="","",'Sch2a-Imp Price by ECM'!D160)</f>
        <v/>
      </c>
      <c r="C159" s="458" t="s">
        <v>431</v>
      </c>
      <c r="D159" s="454">
        <f>'Sch4-Cost Savings by ECM'!O159</f>
        <v>0</v>
      </c>
      <c r="E159" s="454">
        <f>VLOOKUP(C159,'eGRID subregion name'!$A$2:$N$30,8,0)</f>
        <v>189.83531623683197</v>
      </c>
      <c r="F159" s="454">
        <f t="shared" si="24"/>
        <v>0</v>
      </c>
      <c r="G159" s="455">
        <f>'Sch4-Cost Savings by ECM'!S159</f>
        <v>0</v>
      </c>
      <c r="H159" s="455">
        <f>VLOOKUP("Natural Gas", 'GHG Emissions'!$D$2:$M$66,4,FALSE)+VLOOKUP("Natural Gas", 'GHG Emissions'!$D$2:$M$66,6,FALSE)*'eGRID subregion name'!$P$3+VLOOKUP("Natural Gas", 'GHG Emissions'!$D$2:$M$66,8,FALSE)*'eGRID subregion name'!$P$4</f>
        <v>53.114800000000002</v>
      </c>
      <c r="I159" s="455">
        <f t="shared" si="20"/>
        <v>0</v>
      </c>
      <c r="J159" s="455">
        <f>'Sch4-Cost Savings by ECM'!U159</f>
        <v>0</v>
      </c>
      <c r="K15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59" s="455">
        <f t="shared" si="21"/>
        <v>0</v>
      </c>
      <c r="M159" s="455">
        <f>'Sch4-Cost Savings by ECM'!W159</f>
        <v>0</v>
      </c>
      <c r="N15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59" s="455">
        <f t="shared" si="22"/>
        <v>0</v>
      </c>
      <c r="P159" s="457">
        <f t="shared" si="19"/>
        <v>0</v>
      </c>
      <c r="Q159" s="455">
        <f>'Sch4-Cost Savings by ECM'!AA159</f>
        <v>0</v>
      </c>
      <c r="R159" s="455">
        <f t="shared" si="25"/>
        <v>0</v>
      </c>
      <c r="S159" s="455">
        <f t="shared" si="26"/>
        <v>0</v>
      </c>
      <c r="T159" s="455">
        <f t="shared" si="23"/>
        <v>0</v>
      </c>
    </row>
    <row r="160" spans="1:20" ht="18" customHeight="1" thickBot="1">
      <c r="A160" s="75" t="str">
        <f>IF('Sch2a-Imp Price by ECM'!B161="","",'Sch2a-Imp Price by ECM'!B161)</f>
        <v/>
      </c>
      <c r="B160" s="174" t="str">
        <f>IF('Sch2a-Imp Price by ECM'!D161="","",'Sch2a-Imp Price by ECM'!D161)</f>
        <v/>
      </c>
      <c r="C160" s="458" t="s">
        <v>431</v>
      </c>
      <c r="D160" s="454">
        <f>'Sch4-Cost Savings by ECM'!O160</f>
        <v>0</v>
      </c>
      <c r="E160" s="454">
        <f>VLOOKUP(C160,'eGRID subregion name'!$A$2:$N$30,8,0)</f>
        <v>189.83531623683197</v>
      </c>
      <c r="F160" s="454">
        <f t="shared" si="24"/>
        <v>0</v>
      </c>
      <c r="G160" s="455">
        <f>'Sch4-Cost Savings by ECM'!S160</f>
        <v>0</v>
      </c>
      <c r="H160" s="455">
        <f>VLOOKUP("Natural Gas", 'GHG Emissions'!$D$2:$M$66,4,FALSE)+VLOOKUP("Natural Gas", 'GHG Emissions'!$D$2:$M$66,6,FALSE)*'eGRID subregion name'!$P$3+VLOOKUP("Natural Gas", 'GHG Emissions'!$D$2:$M$66,8,FALSE)*'eGRID subregion name'!$P$4</f>
        <v>53.114800000000002</v>
      </c>
      <c r="I160" s="455">
        <f t="shared" si="20"/>
        <v>0</v>
      </c>
      <c r="J160" s="455">
        <f>'Sch4-Cost Savings by ECM'!U160</f>
        <v>0</v>
      </c>
      <c r="K16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0" s="455">
        <f t="shared" si="21"/>
        <v>0</v>
      </c>
      <c r="M160" s="455">
        <f>'Sch4-Cost Savings by ECM'!W160</f>
        <v>0</v>
      </c>
      <c r="N16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0" s="455">
        <f t="shared" si="22"/>
        <v>0</v>
      </c>
      <c r="P160" s="457">
        <f t="shared" si="19"/>
        <v>0</v>
      </c>
      <c r="Q160" s="455">
        <f>'Sch4-Cost Savings by ECM'!AA160</f>
        <v>0</v>
      </c>
      <c r="R160" s="455">
        <f t="shared" si="25"/>
        <v>0</v>
      </c>
      <c r="S160" s="455">
        <f t="shared" si="26"/>
        <v>0</v>
      </c>
      <c r="T160" s="455">
        <f t="shared" si="23"/>
        <v>0</v>
      </c>
    </row>
    <row r="161" spans="1:20" ht="17" thickBot="1">
      <c r="A161" s="75" t="str">
        <f>IF('Sch2a-Imp Price by ECM'!B162="","",'Sch2a-Imp Price by ECM'!B162)</f>
        <v/>
      </c>
      <c r="B161" s="174" t="str">
        <f>IF('Sch2a-Imp Price by ECM'!D162="","",'Sch2a-Imp Price by ECM'!D162)</f>
        <v/>
      </c>
      <c r="C161" s="458" t="s">
        <v>431</v>
      </c>
      <c r="D161" s="454">
        <f>'Sch4-Cost Savings by ECM'!O161</f>
        <v>0</v>
      </c>
      <c r="E161" s="454">
        <f>VLOOKUP(C161,'eGRID subregion name'!$A$2:$N$30,8,0)</f>
        <v>189.83531623683197</v>
      </c>
      <c r="F161" s="454">
        <f t="shared" si="24"/>
        <v>0</v>
      </c>
      <c r="G161" s="455">
        <f>'Sch4-Cost Savings by ECM'!S161</f>
        <v>0</v>
      </c>
      <c r="H161" s="455">
        <f>VLOOKUP("Natural Gas", 'GHG Emissions'!$D$2:$M$66,4,FALSE)+VLOOKUP("Natural Gas", 'GHG Emissions'!$D$2:$M$66,6,FALSE)*'eGRID subregion name'!$P$3+VLOOKUP("Natural Gas", 'GHG Emissions'!$D$2:$M$66,8,FALSE)*'eGRID subregion name'!$P$4</f>
        <v>53.114800000000002</v>
      </c>
      <c r="I161" s="455">
        <f t="shared" si="20"/>
        <v>0</v>
      </c>
      <c r="J161" s="455">
        <f>'Sch4-Cost Savings by ECM'!U161</f>
        <v>0</v>
      </c>
      <c r="K16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1" s="455">
        <f t="shared" si="21"/>
        <v>0</v>
      </c>
      <c r="M161" s="455">
        <f>'Sch4-Cost Savings by ECM'!W161</f>
        <v>0</v>
      </c>
      <c r="N16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1" s="455">
        <f t="shared" si="22"/>
        <v>0</v>
      </c>
      <c r="P161" s="457">
        <f t="shared" si="19"/>
        <v>0</v>
      </c>
      <c r="Q161" s="455">
        <f>'Sch4-Cost Savings by ECM'!AA161</f>
        <v>0</v>
      </c>
      <c r="R161" s="455">
        <f t="shared" si="25"/>
        <v>0</v>
      </c>
      <c r="S161" s="455">
        <f t="shared" si="26"/>
        <v>0</v>
      </c>
      <c r="T161" s="455">
        <f t="shared" si="23"/>
        <v>0</v>
      </c>
    </row>
    <row r="162" spans="1:20" ht="17" thickBot="1">
      <c r="A162" s="75" t="str">
        <f>IF('Sch2a-Imp Price by ECM'!B163="","",'Sch2a-Imp Price by ECM'!B163)</f>
        <v/>
      </c>
      <c r="B162" s="174" t="str">
        <f>IF('Sch2a-Imp Price by ECM'!D163="","",'Sch2a-Imp Price by ECM'!D163)</f>
        <v/>
      </c>
      <c r="C162" s="458" t="s">
        <v>431</v>
      </c>
      <c r="D162" s="454">
        <f>'Sch4-Cost Savings by ECM'!O162</f>
        <v>0</v>
      </c>
      <c r="E162" s="454">
        <f>VLOOKUP(C162,'eGRID subregion name'!$A$2:$N$30,8,0)</f>
        <v>189.83531623683197</v>
      </c>
      <c r="F162" s="454">
        <f t="shared" si="24"/>
        <v>0</v>
      </c>
      <c r="G162" s="455">
        <f>'Sch4-Cost Savings by ECM'!S162</f>
        <v>0</v>
      </c>
      <c r="H162" s="455">
        <f>VLOOKUP("Natural Gas", 'GHG Emissions'!$D$2:$M$66,4,FALSE)+VLOOKUP("Natural Gas", 'GHG Emissions'!$D$2:$M$66,6,FALSE)*'eGRID subregion name'!$P$3+VLOOKUP("Natural Gas", 'GHG Emissions'!$D$2:$M$66,8,FALSE)*'eGRID subregion name'!$P$4</f>
        <v>53.114800000000002</v>
      </c>
      <c r="I162" s="455">
        <f t="shared" si="20"/>
        <v>0</v>
      </c>
      <c r="J162" s="455">
        <f>'Sch4-Cost Savings by ECM'!U162</f>
        <v>0</v>
      </c>
      <c r="K16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2" s="455">
        <f t="shared" si="21"/>
        <v>0</v>
      </c>
      <c r="M162" s="455">
        <f>'Sch4-Cost Savings by ECM'!W162</f>
        <v>0</v>
      </c>
      <c r="N16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2" s="455">
        <f t="shared" si="22"/>
        <v>0</v>
      </c>
      <c r="P162" s="457">
        <f t="shared" si="19"/>
        <v>0</v>
      </c>
      <c r="Q162" s="455">
        <f>'Sch4-Cost Savings by ECM'!AA162</f>
        <v>0</v>
      </c>
      <c r="R162" s="455">
        <f t="shared" si="25"/>
        <v>0</v>
      </c>
      <c r="S162" s="455">
        <f t="shared" si="26"/>
        <v>0</v>
      </c>
      <c r="T162" s="455">
        <f t="shared" si="23"/>
        <v>0</v>
      </c>
    </row>
    <row r="163" spans="1:20" ht="17" thickBot="1">
      <c r="A163" s="75" t="str">
        <f>IF('Sch2a-Imp Price by ECM'!B164="","",'Sch2a-Imp Price by ECM'!B164)</f>
        <v/>
      </c>
      <c r="B163" s="174" t="str">
        <f>IF('Sch2a-Imp Price by ECM'!D164="","",'Sch2a-Imp Price by ECM'!D164)</f>
        <v/>
      </c>
      <c r="C163" s="458" t="s">
        <v>431</v>
      </c>
      <c r="D163" s="454">
        <f>'Sch4-Cost Savings by ECM'!O163</f>
        <v>0</v>
      </c>
      <c r="E163" s="454">
        <f>VLOOKUP(C163,'eGRID subregion name'!$A$2:$N$30,8,0)</f>
        <v>189.83531623683197</v>
      </c>
      <c r="F163" s="454">
        <f t="shared" si="24"/>
        <v>0</v>
      </c>
      <c r="G163" s="455">
        <f>'Sch4-Cost Savings by ECM'!S163</f>
        <v>0</v>
      </c>
      <c r="H163" s="455">
        <f>VLOOKUP("Natural Gas", 'GHG Emissions'!$D$2:$M$66,4,FALSE)+VLOOKUP("Natural Gas", 'GHG Emissions'!$D$2:$M$66,6,FALSE)*'eGRID subregion name'!$P$3+VLOOKUP("Natural Gas", 'GHG Emissions'!$D$2:$M$66,8,FALSE)*'eGRID subregion name'!$P$4</f>
        <v>53.114800000000002</v>
      </c>
      <c r="I163" s="455">
        <f t="shared" si="20"/>
        <v>0</v>
      </c>
      <c r="J163" s="455">
        <f>'Sch4-Cost Savings by ECM'!U163</f>
        <v>0</v>
      </c>
      <c r="K16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3" s="455">
        <f t="shared" si="21"/>
        <v>0</v>
      </c>
      <c r="M163" s="455">
        <f>'Sch4-Cost Savings by ECM'!W163</f>
        <v>0</v>
      </c>
      <c r="N16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3" s="455">
        <f t="shared" si="22"/>
        <v>0</v>
      </c>
      <c r="P163" s="457">
        <f t="shared" si="19"/>
        <v>0</v>
      </c>
      <c r="Q163" s="455">
        <f>'Sch4-Cost Savings by ECM'!AA163</f>
        <v>0</v>
      </c>
      <c r="R163" s="455">
        <f t="shared" si="25"/>
        <v>0</v>
      </c>
      <c r="S163" s="455">
        <f t="shared" si="26"/>
        <v>0</v>
      </c>
      <c r="T163" s="455">
        <f t="shared" si="23"/>
        <v>0</v>
      </c>
    </row>
    <row r="164" spans="1:20" ht="17" thickBot="1">
      <c r="A164" s="75" t="str">
        <f>IF('Sch2a-Imp Price by ECM'!B165="","",'Sch2a-Imp Price by ECM'!B165)</f>
        <v/>
      </c>
      <c r="B164" s="174" t="str">
        <f>IF('Sch2a-Imp Price by ECM'!D165="","",'Sch2a-Imp Price by ECM'!D165)</f>
        <v/>
      </c>
      <c r="C164" s="458" t="s">
        <v>431</v>
      </c>
      <c r="D164" s="454">
        <f>'Sch4-Cost Savings by ECM'!O164</f>
        <v>0</v>
      </c>
      <c r="E164" s="454">
        <f>VLOOKUP(C164,'eGRID subregion name'!$A$2:$N$30,8,0)</f>
        <v>189.83531623683197</v>
      </c>
      <c r="F164" s="454">
        <f t="shared" si="24"/>
        <v>0</v>
      </c>
      <c r="G164" s="455">
        <f>'Sch4-Cost Savings by ECM'!S164</f>
        <v>0</v>
      </c>
      <c r="H164" s="455">
        <f>VLOOKUP("Natural Gas", 'GHG Emissions'!$D$2:$M$66,4,FALSE)+VLOOKUP("Natural Gas", 'GHG Emissions'!$D$2:$M$66,6,FALSE)*'eGRID subregion name'!$P$3+VLOOKUP("Natural Gas", 'GHG Emissions'!$D$2:$M$66,8,FALSE)*'eGRID subregion name'!$P$4</f>
        <v>53.114800000000002</v>
      </c>
      <c r="I164" s="455">
        <f t="shared" si="20"/>
        <v>0</v>
      </c>
      <c r="J164" s="455">
        <f>'Sch4-Cost Savings by ECM'!U164</f>
        <v>0</v>
      </c>
      <c r="K16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4" s="455">
        <f t="shared" si="21"/>
        <v>0</v>
      </c>
      <c r="M164" s="455">
        <f>'Sch4-Cost Savings by ECM'!W164</f>
        <v>0</v>
      </c>
      <c r="N16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4" s="455">
        <f t="shared" si="22"/>
        <v>0</v>
      </c>
      <c r="P164" s="457">
        <f t="shared" si="19"/>
        <v>0</v>
      </c>
      <c r="Q164" s="455">
        <f>'Sch4-Cost Savings by ECM'!AA164</f>
        <v>0</v>
      </c>
      <c r="R164" s="455">
        <f t="shared" si="25"/>
        <v>0</v>
      </c>
      <c r="S164" s="455">
        <f t="shared" si="26"/>
        <v>0</v>
      </c>
      <c r="T164" s="455">
        <f t="shared" si="23"/>
        <v>0</v>
      </c>
    </row>
    <row r="165" spans="1:20" ht="17" thickBot="1">
      <c r="A165" s="75" t="str">
        <f>IF('Sch2a-Imp Price by ECM'!B166="","",'Sch2a-Imp Price by ECM'!B166)</f>
        <v/>
      </c>
      <c r="B165" s="174" t="str">
        <f>IF('Sch2a-Imp Price by ECM'!D166="","",'Sch2a-Imp Price by ECM'!D166)</f>
        <v/>
      </c>
      <c r="C165" s="458" t="s">
        <v>431</v>
      </c>
      <c r="D165" s="454">
        <f>'Sch4-Cost Savings by ECM'!O165</f>
        <v>0</v>
      </c>
      <c r="E165" s="454">
        <f>VLOOKUP(C165,'eGRID subregion name'!$A$2:$N$30,8,0)</f>
        <v>189.83531623683197</v>
      </c>
      <c r="F165" s="454">
        <f t="shared" si="24"/>
        <v>0</v>
      </c>
      <c r="G165" s="455">
        <f>'Sch4-Cost Savings by ECM'!S165</f>
        <v>0</v>
      </c>
      <c r="H165" s="455">
        <f>VLOOKUP("Natural Gas", 'GHG Emissions'!$D$2:$M$66,4,FALSE)+VLOOKUP("Natural Gas", 'GHG Emissions'!$D$2:$M$66,6,FALSE)*'eGRID subregion name'!$P$3+VLOOKUP("Natural Gas", 'GHG Emissions'!$D$2:$M$66,8,FALSE)*'eGRID subregion name'!$P$4</f>
        <v>53.114800000000002</v>
      </c>
      <c r="I165" s="455">
        <f t="shared" si="20"/>
        <v>0</v>
      </c>
      <c r="J165" s="455">
        <f>'Sch4-Cost Savings by ECM'!U165</f>
        <v>0</v>
      </c>
      <c r="K16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5" s="455">
        <f t="shared" si="21"/>
        <v>0</v>
      </c>
      <c r="M165" s="455">
        <f>'Sch4-Cost Savings by ECM'!W165</f>
        <v>0</v>
      </c>
      <c r="N16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5" s="455">
        <f t="shared" si="22"/>
        <v>0</v>
      </c>
      <c r="P165" s="457">
        <f t="shared" si="19"/>
        <v>0</v>
      </c>
      <c r="Q165" s="455">
        <f>'Sch4-Cost Savings by ECM'!AA165</f>
        <v>0</v>
      </c>
      <c r="R165" s="455">
        <f t="shared" si="25"/>
        <v>0</v>
      </c>
      <c r="S165" s="455">
        <f t="shared" si="26"/>
        <v>0</v>
      </c>
      <c r="T165" s="455">
        <f t="shared" si="23"/>
        <v>0</v>
      </c>
    </row>
    <row r="166" spans="1:20" ht="17" thickBot="1">
      <c r="A166" s="75" t="str">
        <f>IF('Sch2a-Imp Price by ECM'!B167="","",'Sch2a-Imp Price by ECM'!B167)</f>
        <v/>
      </c>
      <c r="B166" s="174" t="str">
        <f>IF('Sch2a-Imp Price by ECM'!D167="","",'Sch2a-Imp Price by ECM'!D167)</f>
        <v/>
      </c>
      <c r="C166" s="458" t="s">
        <v>431</v>
      </c>
      <c r="D166" s="454">
        <f>'Sch4-Cost Savings by ECM'!O166</f>
        <v>0</v>
      </c>
      <c r="E166" s="454">
        <f>VLOOKUP(C166,'eGRID subregion name'!$A$2:$N$30,8,0)</f>
        <v>189.83531623683197</v>
      </c>
      <c r="F166" s="454">
        <f t="shared" si="24"/>
        <v>0</v>
      </c>
      <c r="G166" s="455">
        <f>'Sch4-Cost Savings by ECM'!S166</f>
        <v>0</v>
      </c>
      <c r="H166" s="455">
        <f>VLOOKUP("Natural Gas", 'GHG Emissions'!$D$2:$M$66,4,FALSE)+VLOOKUP("Natural Gas", 'GHG Emissions'!$D$2:$M$66,6,FALSE)*'eGRID subregion name'!$P$3+VLOOKUP("Natural Gas", 'GHG Emissions'!$D$2:$M$66,8,FALSE)*'eGRID subregion name'!$P$4</f>
        <v>53.114800000000002</v>
      </c>
      <c r="I166" s="455">
        <f t="shared" si="20"/>
        <v>0</v>
      </c>
      <c r="J166" s="455">
        <f>'Sch4-Cost Savings by ECM'!U166</f>
        <v>0</v>
      </c>
      <c r="K16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6" s="455">
        <f t="shared" si="21"/>
        <v>0</v>
      </c>
      <c r="M166" s="455">
        <f>'Sch4-Cost Savings by ECM'!W166</f>
        <v>0</v>
      </c>
      <c r="N16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6" s="455">
        <f t="shared" si="22"/>
        <v>0</v>
      </c>
      <c r="P166" s="457">
        <f t="shared" si="19"/>
        <v>0</v>
      </c>
      <c r="Q166" s="455">
        <f>'Sch4-Cost Savings by ECM'!AA166</f>
        <v>0</v>
      </c>
      <c r="R166" s="455">
        <f t="shared" si="25"/>
        <v>0</v>
      </c>
      <c r="S166" s="455">
        <f t="shared" si="26"/>
        <v>0</v>
      </c>
      <c r="T166" s="455">
        <f t="shared" si="23"/>
        <v>0</v>
      </c>
    </row>
    <row r="167" spans="1:20" ht="17" thickBot="1">
      <c r="A167" s="75" t="str">
        <f>IF('Sch2a-Imp Price by ECM'!B168="","",'Sch2a-Imp Price by ECM'!B168)</f>
        <v/>
      </c>
      <c r="B167" s="174" t="str">
        <f>IF('Sch2a-Imp Price by ECM'!D168="","",'Sch2a-Imp Price by ECM'!D168)</f>
        <v/>
      </c>
      <c r="C167" s="458" t="s">
        <v>431</v>
      </c>
      <c r="D167" s="454">
        <f>'Sch4-Cost Savings by ECM'!O167</f>
        <v>0</v>
      </c>
      <c r="E167" s="454">
        <f>VLOOKUP(C167,'eGRID subregion name'!$A$2:$N$30,8,0)</f>
        <v>189.83531623683197</v>
      </c>
      <c r="F167" s="454">
        <f t="shared" si="24"/>
        <v>0</v>
      </c>
      <c r="G167" s="455">
        <f>'Sch4-Cost Savings by ECM'!S167</f>
        <v>0</v>
      </c>
      <c r="H167" s="455">
        <f>VLOOKUP("Natural Gas", 'GHG Emissions'!$D$2:$M$66,4,FALSE)+VLOOKUP("Natural Gas", 'GHG Emissions'!$D$2:$M$66,6,FALSE)*'eGRID subregion name'!$P$3+VLOOKUP("Natural Gas", 'GHG Emissions'!$D$2:$M$66,8,FALSE)*'eGRID subregion name'!$P$4</f>
        <v>53.114800000000002</v>
      </c>
      <c r="I167" s="455">
        <f t="shared" si="20"/>
        <v>0</v>
      </c>
      <c r="J167" s="455">
        <f>'Sch4-Cost Savings by ECM'!U167</f>
        <v>0</v>
      </c>
      <c r="K16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7" s="455">
        <f t="shared" si="21"/>
        <v>0</v>
      </c>
      <c r="M167" s="455">
        <f>'Sch4-Cost Savings by ECM'!W167</f>
        <v>0</v>
      </c>
      <c r="N16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7" s="455">
        <f t="shared" si="22"/>
        <v>0</v>
      </c>
      <c r="P167" s="457">
        <f t="shared" si="19"/>
        <v>0</v>
      </c>
      <c r="Q167" s="455">
        <f>'Sch4-Cost Savings by ECM'!AA167</f>
        <v>0</v>
      </c>
      <c r="R167" s="455">
        <f t="shared" si="25"/>
        <v>0</v>
      </c>
      <c r="S167" s="455">
        <f t="shared" si="26"/>
        <v>0</v>
      </c>
      <c r="T167" s="455">
        <f t="shared" si="23"/>
        <v>0</v>
      </c>
    </row>
    <row r="168" spans="1:20" ht="17" thickBot="1">
      <c r="A168" s="75" t="str">
        <f>IF('Sch2a-Imp Price by ECM'!B169="","",'Sch2a-Imp Price by ECM'!B169)</f>
        <v/>
      </c>
      <c r="B168" s="174" t="str">
        <f>IF('Sch2a-Imp Price by ECM'!D169="","",'Sch2a-Imp Price by ECM'!D169)</f>
        <v/>
      </c>
      <c r="C168" s="458" t="s">
        <v>431</v>
      </c>
      <c r="D168" s="454">
        <f>'Sch4-Cost Savings by ECM'!O168</f>
        <v>0</v>
      </c>
      <c r="E168" s="454">
        <f>VLOOKUP(C168,'eGRID subregion name'!$A$2:$N$30,8,0)</f>
        <v>189.83531623683197</v>
      </c>
      <c r="F168" s="454">
        <f t="shared" si="24"/>
        <v>0</v>
      </c>
      <c r="G168" s="455">
        <f>'Sch4-Cost Savings by ECM'!S168</f>
        <v>0</v>
      </c>
      <c r="H168" s="455">
        <f>VLOOKUP("Natural Gas", 'GHG Emissions'!$D$2:$M$66,4,FALSE)+VLOOKUP("Natural Gas", 'GHG Emissions'!$D$2:$M$66,6,FALSE)*'eGRID subregion name'!$P$3+VLOOKUP("Natural Gas", 'GHG Emissions'!$D$2:$M$66,8,FALSE)*'eGRID subregion name'!$P$4</f>
        <v>53.114800000000002</v>
      </c>
      <c r="I168" s="455">
        <f t="shared" si="20"/>
        <v>0</v>
      </c>
      <c r="J168" s="455">
        <f>'Sch4-Cost Savings by ECM'!U168</f>
        <v>0</v>
      </c>
      <c r="K16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8" s="455">
        <f t="shared" si="21"/>
        <v>0</v>
      </c>
      <c r="M168" s="455">
        <f>'Sch4-Cost Savings by ECM'!W168</f>
        <v>0</v>
      </c>
      <c r="N16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8" s="455">
        <f t="shared" si="22"/>
        <v>0</v>
      </c>
      <c r="P168" s="457">
        <f t="shared" si="19"/>
        <v>0</v>
      </c>
      <c r="Q168" s="455">
        <f>'Sch4-Cost Savings by ECM'!AA168</f>
        <v>0</v>
      </c>
      <c r="R168" s="455">
        <f t="shared" si="25"/>
        <v>0</v>
      </c>
      <c r="S168" s="455">
        <f t="shared" si="26"/>
        <v>0</v>
      </c>
      <c r="T168" s="455">
        <f t="shared" si="23"/>
        <v>0</v>
      </c>
    </row>
    <row r="169" spans="1:20" ht="17" thickBot="1">
      <c r="A169" s="75" t="str">
        <f>IF('Sch2a-Imp Price by ECM'!B170="","",'Sch2a-Imp Price by ECM'!B170)</f>
        <v/>
      </c>
      <c r="B169" s="174" t="str">
        <f>IF('Sch2a-Imp Price by ECM'!D170="","",'Sch2a-Imp Price by ECM'!D170)</f>
        <v/>
      </c>
      <c r="C169" s="458" t="s">
        <v>431</v>
      </c>
      <c r="D169" s="454">
        <f>'Sch4-Cost Savings by ECM'!O169</f>
        <v>0</v>
      </c>
      <c r="E169" s="454">
        <f>VLOOKUP(C169,'eGRID subregion name'!$A$2:$N$30,8,0)</f>
        <v>189.83531623683197</v>
      </c>
      <c r="F169" s="454">
        <f t="shared" si="24"/>
        <v>0</v>
      </c>
      <c r="G169" s="455">
        <f>'Sch4-Cost Savings by ECM'!S169</f>
        <v>0</v>
      </c>
      <c r="H169" s="455">
        <f>VLOOKUP("Natural Gas", 'GHG Emissions'!$D$2:$M$66,4,FALSE)+VLOOKUP("Natural Gas", 'GHG Emissions'!$D$2:$M$66,6,FALSE)*'eGRID subregion name'!$P$3+VLOOKUP("Natural Gas", 'GHG Emissions'!$D$2:$M$66,8,FALSE)*'eGRID subregion name'!$P$4</f>
        <v>53.114800000000002</v>
      </c>
      <c r="I169" s="455">
        <f t="shared" si="20"/>
        <v>0</v>
      </c>
      <c r="J169" s="455">
        <f>'Sch4-Cost Savings by ECM'!U169</f>
        <v>0</v>
      </c>
      <c r="K16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69" s="455">
        <f t="shared" si="21"/>
        <v>0</v>
      </c>
      <c r="M169" s="455">
        <f>'Sch4-Cost Savings by ECM'!W169</f>
        <v>0</v>
      </c>
      <c r="N16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69" s="455">
        <f t="shared" si="22"/>
        <v>0</v>
      </c>
      <c r="P169" s="457">
        <f t="shared" si="19"/>
        <v>0</v>
      </c>
      <c r="Q169" s="455">
        <f>'Sch4-Cost Savings by ECM'!AA169</f>
        <v>0</v>
      </c>
      <c r="R169" s="455">
        <f t="shared" si="25"/>
        <v>0</v>
      </c>
      <c r="S169" s="455">
        <f t="shared" si="26"/>
        <v>0</v>
      </c>
      <c r="T169" s="455">
        <f t="shared" si="23"/>
        <v>0</v>
      </c>
    </row>
    <row r="170" spans="1:20" ht="17" thickBot="1">
      <c r="A170" s="75" t="str">
        <f>IF('Sch2a-Imp Price by ECM'!B171="","",'Sch2a-Imp Price by ECM'!B171)</f>
        <v/>
      </c>
      <c r="B170" s="174" t="str">
        <f>IF('Sch2a-Imp Price by ECM'!D171="","",'Sch2a-Imp Price by ECM'!D171)</f>
        <v/>
      </c>
      <c r="C170" s="458" t="s">
        <v>431</v>
      </c>
      <c r="D170" s="454">
        <f>'Sch4-Cost Savings by ECM'!O170</f>
        <v>0</v>
      </c>
      <c r="E170" s="454">
        <f>VLOOKUP(C170,'eGRID subregion name'!$A$2:$N$30,8,0)</f>
        <v>189.83531623683197</v>
      </c>
      <c r="F170" s="454">
        <f t="shared" si="24"/>
        <v>0</v>
      </c>
      <c r="G170" s="455">
        <f>'Sch4-Cost Savings by ECM'!S170</f>
        <v>0</v>
      </c>
      <c r="H170" s="455">
        <f>VLOOKUP("Natural Gas", 'GHG Emissions'!$D$2:$M$66,4,FALSE)+VLOOKUP("Natural Gas", 'GHG Emissions'!$D$2:$M$66,6,FALSE)*'eGRID subregion name'!$P$3+VLOOKUP("Natural Gas", 'GHG Emissions'!$D$2:$M$66,8,FALSE)*'eGRID subregion name'!$P$4</f>
        <v>53.114800000000002</v>
      </c>
      <c r="I170" s="455">
        <f t="shared" si="20"/>
        <v>0</v>
      </c>
      <c r="J170" s="455">
        <f>'Sch4-Cost Savings by ECM'!U170</f>
        <v>0</v>
      </c>
      <c r="K17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0" s="455">
        <f t="shared" si="21"/>
        <v>0</v>
      </c>
      <c r="M170" s="455">
        <f>'Sch4-Cost Savings by ECM'!W170</f>
        <v>0</v>
      </c>
      <c r="N17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0" s="455">
        <f t="shared" si="22"/>
        <v>0</v>
      </c>
      <c r="P170" s="457">
        <f t="shared" si="19"/>
        <v>0</v>
      </c>
      <c r="Q170" s="455">
        <f>'Sch4-Cost Savings by ECM'!AA170</f>
        <v>0</v>
      </c>
      <c r="R170" s="455">
        <f t="shared" si="25"/>
        <v>0</v>
      </c>
      <c r="S170" s="455">
        <f t="shared" si="26"/>
        <v>0</v>
      </c>
      <c r="T170" s="455">
        <f t="shared" si="23"/>
        <v>0</v>
      </c>
    </row>
    <row r="171" spans="1:20" ht="17" thickBot="1">
      <c r="A171" s="75" t="str">
        <f>IF('Sch2a-Imp Price by ECM'!B172="","",'Sch2a-Imp Price by ECM'!B172)</f>
        <v/>
      </c>
      <c r="B171" s="174" t="str">
        <f>IF('Sch2a-Imp Price by ECM'!D172="","",'Sch2a-Imp Price by ECM'!D172)</f>
        <v/>
      </c>
      <c r="C171" s="458" t="s">
        <v>431</v>
      </c>
      <c r="D171" s="454">
        <f>'Sch4-Cost Savings by ECM'!O171</f>
        <v>0</v>
      </c>
      <c r="E171" s="454">
        <f>VLOOKUP(C171,'eGRID subregion name'!$A$2:$N$30,8,0)</f>
        <v>189.83531623683197</v>
      </c>
      <c r="F171" s="454">
        <f t="shared" si="24"/>
        <v>0</v>
      </c>
      <c r="G171" s="455">
        <f>'Sch4-Cost Savings by ECM'!S171</f>
        <v>0</v>
      </c>
      <c r="H171" s="455">
        <f>VLOOKUP("Natural Gas", 'GHG Emissions'!$D$2:$M$66,4,FALSE)+VLOOKUP("Natural Gas", 'GHG Emissions'!$D$2:$M$66,6,FALSE)*'eGRID subregion name'!$P$3+VLOOKUP("Natural Gas", 'GHG Emissions'!$D$2:$M$66,8,FALSE)*'eGRID subregion name'!$P$4</f>
        <v>53.114800000000002</v>
      </c>
      <c r="I171" s="455">
        <f t="shared" si="20"/>
        <v>0</v>
      </c>
      <c r="J171" s="455">
        <f>'Sch4-Cost Savings by ECM'!U171</f>
        <v>0</v>
      </c>
      <c r="K17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1" s="455">
        <f t="shared" si="21"/>
        <v>0</v>
      </c>
      <c r="M171" s="455">
        <f>'Sch4-Cost Savings by ECM'!W171</f>
        <v>0</v>
      </c>
      <c r="N17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1" s="455">
        <f t="shared" si="22"/>
        <v>0</v>
      </c>
      <c r="P171" s="457">
        <f t="shared" si="19"/>
        <v>0</v>
      </c>
      <c r="Q171" s="455">
        <f>'Sch4-Cost Savings by ECM'!AA171</f>
        <v>0</v>
      </c>
      <c r="R171" s="455">
        <f t="shared" si="25"/>
        <v>0</v>
      </c>
      <c r="S171" s="455">
        <f t="shared" si="26"/>
        <v>0</v>
      </c>
      <c r="T171" s="455">
        <f t="shared" si="23"/>
        <v>0</v>
      </c>
    </row>
    <row r="172" spans="1:20" ht="17" thickBot="1">
      <c r="A172" s="75" t="str">
        <f>IF('Sch2a-Imp Price by ECM'!B173="","",'Sch2a-Imp Price by ECM'!B173)</f>
        <v/>
      </c>
      <c r="B172" s="174" t="str">
        <f>IF('Sch2a-Imp Price by ECM'!D173="","",'Sch2a-Imp Price by ECM'!D173)</f>
        <v/>
      </c>
      <c r="C172" s="458" t="s">
        <v>431</v>
      </c>
      <c r="D172" s="454">
        <f>'Sch4-Cost Savings by ECM'!O172</f>
        <v>0</v>
      </c>
      <c r="E172" s="454">
        <f>VLOOKUP(C172,'eGRID subregion name'!$A$2:$N$30,8,0)</f>
        <v>189.83531623683197</v>
      </c>
      <c r="F172" s="454">
        <f t="shared" si="24"/>
        <v>0</v>
      </c>
      <c r="G172" s="455">
        <f>'Sch4-Cost Savings by ECM'!S172</f>
        <v>0</v>
      </c>
      <c r="H172" s="455">
        <f>VLOOKUP("Natural Gas", 'GHG Emissions'!$D$2:$M$66,4,FALSE)+VLOOKUP("Natural Gas", 'GHG Emissions'!$D$2:$M$66,6,FALSE)*'eGRID subregion name'!$P$3+VLOOKUP("Natural Gas", 'GHG Emissions'!$D$2:$M$66,8,FALSE)*'eGRID subregion name'!$P$4</f>
        <v>53.114800000000002</v>
      </c>
      <c r="I172" s="455">
        <f t="shared" si="20"/>
        <v>0</v>
      </c>
      <c r="J172" s="455">
        <f>'Sch4-Cost Savings by ECM'!U172</f>
        <v>0</v>
      </c>
      <c r="K17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2" s="455">
        <f t="shared" si="21"/>
        <v>0</v>
      </c>
      <c r="M172" s="455">
        <f>'Sch4-Cost Savings by ECM'!W172</f>
        <v>0</v>
      </c>
      <c r="N17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2" s="455">
        <f t="shared" si="22"/>
        <v>0</v>
      </c>
      <c r="P172" s="457">
        <f t="shared" si="19"/>
        <v>0</v>
      </c>
      <c r="Q172" s="455">
        <f>'Sch4-Cost Savings by ECM'!AA172</f>
        <v>0</v>
      </c>
      <c r="R172" s="455">
        <f t="shared" si="25"/>
        <v>0</v>
      </c>
      <c r="S172" s="455">
        <f t="shared" si="26"/>
        <v>0</v>
      </c>
      <c r="T172" s="455">
        <f t="shared" si="23"/>
        <v>0</v>
      </c>
    </row>
    <row r="173" spans="1:20" ht="17" thickBot="1">
      <c r="A173" s="75" t="str">
        <f>IF('Sch2a-Imp Price by ECM'!B174="","",'Sch2a-Imp Price by ECM'!B174)</f>
        <v/>
      </c>
      <c r="B173" s="174" t="str">
        <f>IF('Sch2a-Imp Price by ECM'!D174="","",'Sch2a-Imp Price by ECM'!D174)</f>
        <v/>
      </c>
      <c r="C173" s="458" t="s">
        <v>431</v>
      </c>
      <c r="D173" s="454">
        <f>'Sch4-Cost Savings by ECM'!O173</f>
        <v>0</v>
      </c>
      <c r="E173" s="454">
        <f>VLOOKUP(C173,'eGRID subregion name'!$A$2:$N$30,8,0)</f>
        <v>189.83531623683197</v>
      </c>
      <c r="F173" s="454">
        <f t="shared" si="24"/>
        <v>0</v>
      </c>
      <c r="G173" s="455">
        <f>'Sch4-Cost Savings by ECM'!S173</f>
        <v>0</v>
      </c>
      <c r="H173" s="455">
        <f>VLOOKUP("Natural Gas", 'GHG Emissions'!$D$2:$M$66,4,FALSE)+VLOOKUP("Natural Gas", 'GHG Emissions'!$D$2:$M$66,6,FALSE)*'eGRID subregion name'!$P$3+VLOOKUP("Natural Gas", 'GHG Emissions'!$D$2:$M$66,8,FALSE)*'eGRID subregion name'!$P$4</f>
        <v>53.114800000000002</v>
      </c>
      <c r="I173" s="455">
        <f t="shared" si="20"/>
        <v>0</v>
      </c>
      <c r="J173" s="455">
        <f>'Sch4-Cost Savings by ECM'!U173</f>
        <v>0</v>
      </c>
      <c r="K17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3" s="455">
        <f t="shared" si="21"/>
        <v>0</v>
      </c>
      <c r="M173" s="455">
        <f>'Sch4-Cost Savings by ECM'!W173</f>
        <v>0</v>
      </c>
      <c r="N17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3" s="455">
        <f t="shared" si="22"/>
        <v>0</v>
      </c>
      <c r="P173" s="457">
        <f t="shared" si="19"/>
        <v>0</v>
      </c>
      <c r="Q173" s="455">
        <f>'Sch4-Cost Savings by ECM'!AA173</f>
        <v>0</v>
      </c>
      <c r="R173" s="455">
        <f t="shared" si="25"/>
        <v>0</v>
      </c>
      <c r="S173" s="455">
        <f t="shared" si="26"/>
        <v>0</v>
      </c>
      <c r="T173" s="455">
        <f t="shared" si="23"/>
        <v>0</v>
      </c>
    </row>
    <row r="174" spans="1:20" ht="17" thickBot="1">
      <c r="A174" s="75" t="str">
        <f>IF('Sch2a-Imp Price by ECM'!B175="","",'Sch2a-Imp Price by ECM'!B175)</f>
        <v/>
      </c>
      <c r="B174" s="174" t="str">
        <f>IF('Sch2a-Imp Price by ECM'!D175="","",'Sch2a-Imp Price by ECM'!D175)</f>
        <v/>
      </c>
      <c r="C174" s="458" t="s">
        <v>431</v>
      </c>
      <c r="D174" s="454">
        <f>'Sch4-Cost Savings by ECM'!O174</f>
        <v>0</v>
      </c>
      <c r="E174" s="454">
        <f>VLOOKUP(C174,'eGRID subregion name'!$A$2:$N$30,8,0)</f>
        <v>189.83531623683197</v>
      </c>
      <c r="F174" s="454">
        <f t="shared" si="24"/>
        <v>0</v>
      </c>
      <c r="G174" s="455">
        <f>'Sch4-Cost Savings by ECM'!S174</f>
        <v>0</v>
      </c>
      <c r="H174" s="455">
        <f>VLOOKUP("Natural Gas", 'GHG Emissions'!$D$2:$M$66,4,FALSE)+VLOOKUP("Natural Gas", 'GHG Emissions'!$D$2:$M$66,6,FALSE)*'eGRID subregion name'!$P$3+VLOOKUP("Natural Gas", 'GHG Emissions'!$D$2:$M$66,8,FALSE)*'eGRID subregion name'!$P$4</f>
        <v>53.114800000000002</v>
      </c>
      <c r="I174" s="455">
        <f t="shared" si="20"/>
        <v>0</v>
      </c>
      <c r="J174" s="455">
        <f>'Sch4-Cost Savings by ECM'!U174</f>
        <v>0</v>
      </c>
      <c r="K17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4" s="455">
        <f t="shared" si="21"/>
        <v>0</v>
      </c>
      <c r="M174" s="455">
        <f>'Sch4-Cost Savings by ECM'!W174</f>
        <v>0</v>
      </c>
      <c r="N17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4" s="455">
        <f t="shared" si="22"/>
        <v>0</v>
      </c>
      <c r="P174" s="457">
        <f t="shared" si="19"/>
        <v>0</v>
      </c>
      <c r="Q174" s="455">
        <f>'Sch4-Cost Savings by ECM'!AA174</f>
        <v>0</v>
      </c>
      <c r="R174" s="455">
        <f t="shared" si="25"/>
        <v>0</v>
      </c>
      <c r="S174" s="455">
        <f t="shared" si="26"/>
        <v>0</v>
      </c>
      <c r="T174" s="455">
        <f t="shared" si="23"/>
        <v>0</v>
      </c>
    </row>
    <row r="175" spans="1:20" ht="17" thickBot="1">
      <c r="A175" s="75" t="str">
        <f>IF('Sch2a-Imp Price by ECM'!B176="","",'Sch2a-Imp Price by ECM'!B176)</f>
        <v/>
      </c>
      <c r="B175" s="174" t="str">
        <f>IF('Sch2a-Imp Price by ECM'!D176="","",'Sch2a-Imp Price by ECM'!D176)</f>
        <v/>
      </c>
      <c r="C175" s="458" t="s">
        <v>431</v>
      </c>
      <c r="D175" s="454">
        <f>'Sch4-Cost Savings by ECM'!O175</f>
        <v>0</v>
      </c>
      <c r="E175" s="454">
        <f>VLOOKUP(C175,'eGRID subregion name'!$A$2:$N$30,8,0)</f>
        <v>189.83531623683197</v>
      </c>
      <c r="F175" s="454">
        <f t="shared" si="24"/>
        <v>0</v>
      </c>
      <c r="G175" s="455">
        <f>'Sch4-Cost Savings by ECM'!S175</f>
        <v>0</v>
      </c>
      <c r="H175" s="455">
        <f>VLOOKUP("Natural Gas", 'GHG Emissions'!$D$2:$M$66,4,FALSE)+VLOOKUP("Natural Gas", 'GHG Emissions'!$D$2:$M$66,6,FALSE)*'eGRID subregion name'!$P$3+VLOOKUP("Natural Gas", 'GHG Emissions'!$D$2:$M$66,8,FALSE)*'eGRID subregion name'!$P$4</f>
        <v>53.114800000000002</v>
      </c>
      <c r="I175" s="455">
        <f t="shared" si="20"/>
        <v>0</v>
      </c>
      <c r="J175" s="455">
        <f>'Sch4-Cost Savings by ECM'!U175</f>
        <v>0</v>
      </c>
      <c r="K17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5" s="455">
        <f t="shared" si="21"/>
        <v>0</v>
      </c>
      <c r="M175" s="455">
        <f>'Sch4-Cost Savings by ECM'!W175</f>
        <v>0</v>
      </c>
      <c r="N17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5" s="455">
        <f t="shared" si="22"/>
        <v>0</v>
      </c>
      <c r="P175" s="457">
        <f t="shared" si="19"/>
        <v>0</v>
      </c>
      <c r="Q175" s="455">
        <f>'Sch4-Cost Savings by ECM'!AA175</f>
        <v>0</v>
      </c>
      <c r="R175" s="455">
        <f t="shared" si="25"/>
        <v>0</v>
      </c>
      <c r="S175" s="455">
        <f t="shared" si="26"/>
        <v>0</v>
      </c>
      <c r="T175" s="455">
        <f t="shared" si="23"/>
        <v>0</v>
      </c>
    </row>
    <row r="176" spans="1:20" ht="17" thickBot="1">
      <c r="A176" s="75" t="str">
        <f>IF('Sch2a-Imp Price by ECM'!B177="","",'Sch2a-Imp Price by ECM'!B177)</f>
        <v/>
      </c>
      <c r="B176" s="174" t="str">
        <f>IF('Sch2a-Imp Price by ECM'!D177="","",'Sch2a-Imp Price by ECM'!D177)</f>
        <v/>
      </c>
      <c r="C176" s="458" t="s">
        <v>431</v>
      </c>
      <c r="D176" s="454">
        <f>'Sch4-Cost Savings by ECM'!O176</f>
        <v>0</v>
      </c>
      <c r="E176" s="454">
        <f>VLOOKUP(C176,'eGRID subregion name'!$A$2:$N$30,8,0)</f>
        <v>189.83531623683197</v>
      </c>
      <c r="F176" s="454">
        <f t="shared" si="24"/>
        <v>0</v>
      </c>
      <c r="G176" s="455">
        <f>'Sch4-Cost Savings by ECM'!S176</f>
        <v>0</v>
      </c>
      <c r="H176" s="455">
        <f>VLOOKUP("Natural Gas", 'GHG Emissions'!$D$2:$M$66,4,FALSE)+VLOOKUP("Natural Gas", 'GHG Emissions'!$D$2:$M$66,6,FALSE)*'eGRID subregion name'!$P$3+VLOOKUP("Natural Gas", 'GHG Emissions'!$D$2:$M$66,8,FALSE)*'eGRID subregion name'!$P$4</f>
        <v>53.114800000000002</v>
      </c>
      <c r="I176" s="455">
        <f t="shared" si="20"/>
        <v>0</v>
      </c>
      <c r="J176" s="455">
        <f>'Sch4-Cost Savings by ECM'!U176</f>
        <v>0</v>
      </c>
      <c r="K17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6" s="455">
        <f t="shared" si="21"/>
        <v>0</v>
      </c>
      <c r="M176" s="455">
        <f>'Sch4-Cost Savings by ECM'!W176</f>
        <v>0</v>
      </c>
      <c r="N17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6" s="455">
        <f t="shared" si="22"/>
        <v>0</v>
      </c>
      <c r="P176" s="457">
        <f t="shared" si="19"/>
        <v>0</v>
      </c>
      <c r="Q176" s="455">
        <f>'Sch4-Cost Savings by ECM'!AA176</f>
        <v>0</v>
      </c>
      <c r="R176" s="455">
        <f t="shared" si="25"/>
        <v>0</v>
      </c>
      <c r="S176" s="455">
        <f t="shared" si="26"/>
        <v>0</v>
      </c>
      <c r="T176" s="455">
        <f t="shared" si="23"/>
        <v>0</v>
      </c>
    </row>
    <row r="177" spans="1:20" ht="17" thickBot="1">
      <c r="A177" s="75" t="str">
        <f>IF('Sch2a-Imp Price by ECM'!B178="","",'Sch2a-Imp Price by ECM'!B178)</f>
        <v/>
      </c>
      <c r="B177" s="174" t="str">
        <f>IF('Sch2a-Imp Price by ECM'!D178="","",'Sch2a-Imp Price by ECM'!D178)</f>
        <v/>
      </c>
      <c r="C177" s="458" t="s">
        <v>431</v>
      </c>
      <c r="D177" s="454">
        <f>'Sch4-Cost Savings by ECM'!O177</f>
        <v>0</v>
      </c>
      <c r="E177" s="454">
        <f>VLOOKUP(C177,'eGRID subregion name'!$A$2:$N$30,8,0)</f>
        <v>189.83531623683197</v>
      </c>
      <c r="F177" s="454">
        <f t="shared" si="24"/>
        <v>0</v>
      </c>
      <c r="G177" s="455">
        <f>'Sch4-Cost Savings by ECM'!S177</f>
        <v>0</v>
      </c>
      <c r="H177" s="455">
        <f>VLOOKUP("Natural Gas", 'GHG Emissions'!$D$2:$M$66,4,FALSE)+VLOOKUP("Natural Gas", 'GHG Emissions'!$D$2:$M$66,6,FALSE)*'eGRID subregion name'!$P$3+VLOOKUP("Natural Gas", 'GHG Emissions'!$D$2:$M$66,8,FALSE)*'eGRID subregion name'!$P$4</f>
        <v>53.114800000000002</v>
      </c>
      <c r="I177" s="455">
        <f t="shared" si="20"/>
        <v>0</v>
      </c>
      <c r="J177" s="455">
        <f>'Sch4-Cost Savings by ECM'!U177</f>
        <v>0</v>
      </c>
      <c r="K17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7" s="455">
        <f t="shared" si="21"/>
        <v>0</v>
      </c>
      <c r="M177" s="455">
        <f>'Sch4-Cost Savings by ECM'!W177</f>
        <v>0</v>
      </c>
      <c r="N17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7" s="455">
        <f t="shared" si="22"/>
        <v>0</v>
      </c>
      <c r="P177" s="457">
        <f t="shared" si="19"/>
        <v>0</v>
      </c>
      <c r="Q177" s="455">
        <f>'Sch4-Cost Savings by ECM'!AA177</f>
        <v>0</v>
      </c>
      <c r="R177" s="455">
        <f t="shared" si="25"/>
        <v>0</v>
      </c>
      <c r="S177" s="455">
        <f t="shared" si="26"/>
        <v>0</v>
      </c>
      <c r="T177" s="455">
        <f t="shared" si="23"/>
        <v>0</v>
      </c>
    </row>
    <row r="178" spans="1:20" ht="17" thickBot="1">
      <c r="A178" s="75" t="str">
        <f>IF('Sch2a-Imp Price by ECM'!B179="","",'Sch2a-Imp Price by ECM'!B179)</f>
        <v/>
      </c>
      <c r="B178" s="174" t="str">
        <f>IF('Sch2a-Imp Price by ECM'!D179="","",'Sch2a-Imp Price by ECM'!D179)</f>
        <v/>
      </c>
      <c r="C178" s="458" t="s">
        <v>431</v>
      </c>
      <c r="D178" s="454">
        <f>'Sch4-Cost Savings by ECM'!O178</f>
        <v>0</v>
      </c>
      <c r="E178" s="454">
        <f>VLOOKUP(C178,'eGRID subregion name'!$A$2:$N$30,8,0)</f>
        <v>189.83531623683197</v>
      </c>
      <c r="F178" s="454">
        <f t="shared" si="24"/>
        <v>0</v>
      </c>
      <c r="G178" s="455">
        <f>'Sch4-Cost Savings by ECM'!S178</f>
        <v>0</v>
      </c>
      <c r="H178" s="455">
        <f>VLOOKUP("Natural Gas", 'GHG Emissions'!$D$2:$M$66,4,FALSE)+VLOOKUP("Natural Gas", 'GHG Emissions'!$D$2:$M$66,6,FALSE)*'eGRID subregion name'!$P$3+VLOOKUP("Natural Gas", 'GHG Emissions'!$D$2:$M$66,8,FALSE)*'eGRID subregion name'!$P$4</f>
        <v>53.114800000000002</v>
      </c>
      <c r="I178" s="455">
        <f t="shared" si="20"/>
        <v>0</v>
      </c>
      <c r="J178" s="455">
        <f>'Sch4-Cost Savings by ECM'!U178</f>
        <v>0</v>
      </c>
      <c r="K17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8" s="455">
        <f t="shared" si="21"/>
        <v>0</v>
      </c>
      <c r="M178" s="455">
        <f>'Sch4-Cost Savings by ECM'!W178</f>
        <v>0</v>
      </c>
      <c r="N17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8" s="455">
        <f t="shared" si="22"/>
        <v>0</v>
      </c>
      <c r="P178" s="457">
        <f t="shared" si="19"/>
        <v>0</v>
      </c>
      <c r="Q178" s="455">
        <f>'Sch4-Cost Savings by ECM'!AA178</f>
        <v>0</v>
      </c>
      <c r="R178" s="455">
        <f t="shared" si="25"/>
        <v>0</v>
      </c>
      <c r="S178" s="455">
        <f t="shared" si="26"/>
        <v>0</v>
      </c>
      <c r="T178" s="455">
        <f t="shared" si="23"/>
        <v>0</v>
      </c>
    </row>
    <row r="179" spans="1:20" ht="17" thickBot="1">
      <c r="A179" s="75" t="str">
        <f>IF('Sch2a-Imp Price by ECM'!B180="","",'Sch2a-Imp Price by ECM'!B180)</f>
        <v/>
      </c>
      <c r="B179" s="174" t="str">
        <f>IF('Sch2a-Imp Price by ECM'!D180="","",'Sch2a-Imp Price by ECM'!D180)</f>
        <v/>
      </c>
      <c r="C179" s="458" t="s">
        <v>431</v>
      </c>
      <c r="D179" s="454">
        <f>'Sch4-Cost Savings by ECM'!O179</f>
        <v>0</v>
      </c>
      <c r="E179" s="454">
        <f>VLOOKUP(C179,'eGRID subregion name'!$A$2:$N$30,8,0)</f>
        <v>189.83531623683197</v>
      </c>
      <c r="F179" s="454">
        <f t="shared" si="24"/>
        <v>0</v>
      </c>
      <c r="G179" s="455">
        <f>'Sch4-Cost Savings by ECM'!S179</f>
        <v>0</v>
      </c>
      <c r="H179" s="455">
        <f>VLOOKUP("Natural Gas", 'GHG Emissions'!$D$2:$M$66,4,FALSE)+VLOOKUP("Natural Gas", 'GHG Emissions'!$D$2:$M$66,6,FALSE)*'eGRID subregion name'!$P$3+VLOOKUP("Natural Gas", 'GHG Emissions'!$D$2:$M$66,8,FALSE)*'eGRID subregion name'!$P$4</f>
        <v>53.114800000000002</v>
      </c>
      <c r="I179" s="455">
        <f t="shared" si="20"/>
        <v>0</v>
      </c>
      <c r="J179" s="455">
        <f>'Sch4-Cost Savings by ECM'!U179</f>
        <v>0</v>
      </c>
      <c r="K17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79" s="455">
        <f t="shared" si="21"/>
        <v>0</v>
      </c>
      <c r="M179" s="455">
        <f>'Sch4-Cost Savings by ECM'!W179</f>
        <v>0</v>
      </c>
      <c r="N17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79" s="455">
        <f t="shared" si="22"/>
        <v>0</v>
      </c>
      <c r="P179" s="457">
        <f t="shared" si="19"/>
        <v>0</v>
      </c>
      <c r="Q179" s="455">
        <f>'Sch4-Cost Savings by ECM'!AA179</f>
        <v>0</v>
      </c>
      <c r="R179" s="455">
        <f t="shared" si="25"/>
        <v>0</v>
      </c>
      <c r="S179" s="455">
        <f t="shared" si="26"/>
        <v>0</v>
      </c>
      <c r="T179" s="455">
        <f t="shared" si="23"/>
        <v>0</v>
      </c>
    </row>
    <row r="180" spans="1:20" ht="17" thickBot="1">
      <c r="A180" s="75" t="str">
        <f>IF('Sch2a-Imp Price by ECM'!B181="","",'Sch2a-Imp Price by ECM'!B181)</f>
        <v/>
      </c>
      <c r="B180" s="174" t="str">
        <f>IF('Sch2a-Imp Price by ECM'!D181="","",'Sch2a-Imp Price by ECM'!D181)</f>
        <v/>
      </c>
      <c r="C180" s="458" t="s">
        <v>431</v>
      </c>
      <c r="D180" s="454">
        <f>'Sch4-Cost Savings by ECM'!O180</f>
        <v>0</v>
      </c>
      <c r="E180" s="454">
        <f>VLOOKUP(C180,'eGRID subregion name'!$A$2:$N$30,8,0)</f>
        <v>189.83531623683197</v>
      </c>
      <c r="F180" s="454">
        <f t="shared" si="24"/>
        <v>0</v>
      </c>
      <c r="G180" s="455">
        <f>'Sch4-Cost Savings by ECM'!S180</f>
        <v>0</v>
      </c>
      <c r="H180" s="455">
        <f>VLOOKUP("Natural Gas", 'GHG Emissions'!$D$2:$M$66,4,FALSE)+VLOOKUP("Natural Gas", 'GHG Emissions'!$D$2:$M$66,6,FALSE)*'eGRID subregion name'!$P$3+VLOOKUP("Natural Gas", 'GHG Emissions'!$D$2:$M$66,8,FALSE)*'eGRID subregion name'!$P$4</f>
        <v>53.114800000000002</v>
      </c>
      <c r="I180" s="455">
        <f t="shared" si="20"/>
        <v>0</v>
      </c>
      <c r="J180" s="455">
        <f>'Sch4-Cost Savings by ECM'!U180</f>
        <v>0</v>
      </c>
      <c r="K18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0" s="455">
        <f t="shared" si="21"/>
        <v>0</v>
      </c>
      <c r="M180" s="455">
        <f>'Sch4-Cost Savings by ECM'!W180</f>
        <v>0</v>
      </c>
      <c r="N18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0" s="455">
        <f t="shared" si="22"/>
        <v>0</v>
      </c>
      <c r="P180" s="457">
        <f t="shared" si="19"/>
        <v>0</v>
      </c>
      <c r="Q180" s="455">
        <f>'Sch4-Cost Savings by ECM'!AA180</f>
        <v>0</v>
      </c>
      <c r="R180" s="455">
        <f t="shared" si="25"/>
        <v>0</v>
      </c>
      <c r="S180" s="455">
        <f t="shared" si="26"/>
        <v>0</v>
      </c>
      <c r="T180" s="455">
        <f t="shared" si="23"/>
        <v>0</v>
      </c>
    </row>
    <row r="181" spans="1:20" ht="18" customHeight="1" thickBot="1">
      <c r="A181" s="75" t="str">
        <f>IF('Sch2a-Imp Price by ECM'!B182="","",'Sch2a-Imp Price by ECM'!B182)</f>
        <v/>
      </c>
      <c r="B181" s="174" t="str">
        <f>IF('Sch2a-Imp Price by ECM'!D182="","",'Sch2a-Imp Price by ECM'!D182)</f>
        <v/>
      </c>
      <c r="C181" s="458" t="s">
        <v>431</v>
      </c>
      <c r="D181" s="454">
        <f>'Sch4-Cost Savings by ECM'!O181</f>
        <v>0</v>
      </c>
      <c r="E181" s="454">
        <f>VLOOKUP(C181,'eGRID subregion name'!$A$2:$N$30,8,0)</f>
        <v>189.83531623683197</v>
      </c>
      <c r="F181" s="454">
        <f t="shared" si="24"/>
        <v>0</v>
      </c>
      <c r="G181" s="455">
        <f>'Sch4-Cost Savings by ECM'!S181</f>
        <v>0</v>
      </c>
      <c r="H181" s="455">
        <f>VLOOKUP("Natural Gas", 'GHG Emissions'!$D$2:$M$66,4,FALSE)+VLOOKUP("Natural Gas", 'GHG Emissions'!$D$2:$M$66,6,FALSE)*'eGRID subregion name'!$P$3+VLOOKUP("Natural Gas", 'GHG Emissions'!$D$2:$M$66,8,FALSE)*'eGRID subregion name'!$P$4</f>
        <v>53.114800000000002</v>
      </c>
      <c r="I181" s="455">
        <f t="shared" si="20"/>
        <v>0</v>
      </c>
      <c r="J181" s="455">
        <f>'Sch4-Cost Savings by ECM'!U181</f>
        <v>0</v>
      </c>
      <c r="K18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1" s="455">
        <f t="shared" si="21"/>
        <v>0</v>
      </c>
      <c r="M181" s="455">
        <f>'Sch4-Cost Savings by ECM'!W181</f>
        <v>0</v>
      </c>
      <c r="N18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1" s="455">
        <f t="shared" si="22"/>
        <v>0</v>
      </c>
      <c r="P181" s="457">
        <f t="shared" si="19"/>
        <v>0</v>
      </c>
      <c r="Q181" s="455">
        <f>'Sch4-Cost Savings by ECM'!AA181</f>
        <v>0</v>
      </c>
      <c r="R181" s="455">
        <f t="shared" si="25"/>
        <v>0</v>
      </c>
      <c r="S181" s="455">
        <f t="shared" si="26"/>
        <v>0</v>
      </c>
      <c r="T181" s="455">
        <f t="shared" si="23"/>
        <v>0</v>
      </c>
    </row>
    <row r="182" spans="1:20" ht="17" thickBot="1">
      <c r="A182" s="75" t="str">
        <f>IF('Sch2a-Imp Price by ECM'!B183="","",'Sch2a-Imp Price by ECM'!B183)</f>
        <v/>
      </c>
      <c r="B182" s="174" t="str">
        <f>IF('Sch2a-Imp Price by ECM'!D183="","",'Sch2a-Imp Price by ECM'!D183)</f>
        <v/>
      </c>
      <c r="C182" s="458" t="s">
        <v>431</v>
      </c>
      <c r="D182" s="454">
        <f>'Sch4-Cost Savings by ECM'!O182</f>
        <v>0</v>
      </c>
      <c r="E182" s="454">
        <f>VLOOKUP(C182,'eGRID subregion name'!$A$2:$N$30,8,0)</f>
        <v>189.83531623683197</v>
      </c>
      <c r="F182" s="454">
        <f t="shared" si="24"/>
        <v>0</v>
      </c>
      <c r="G182" s="455">
        <f>'Sch4-Cost Savings by ECM'!S182</f>
        <v>0</v>
      </c>
      <c r="H182" s="455">
        <f>VLOOKUP("Natural Gas", 'GHG Emissions'!$D$2:$M$66,4,FALSE)+VLOOKUP("Natural Gas", 'GHG Emissions'!$D$2:$M$66,6,FALSE)*'eGRID subregion name'!$P$3+VLOOKUP("Natural Gas", 'GHG Emissions'!$D$2:$M$66,8,FALSE)*'eGRID subregion name'!$P$4</f>
        <v>53.114800000000002</v>
      </c>
      <c r="I182" s="455">
        <f t="shared" si="20"/>
        <v>0</v>
      </c>
      <c r="J182" s="455">
        <f>'Sch4-Cost Savings by ECM'!U182</f>
        <v>0</v>
      </c>
      <c r="K18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2" s="455">
        <f t="shared" si="21"/>
        <v>0</v>
      </c>
      <c r="M182" s="455">
        <f>'Sch4-Cost Savings by ECM'!W182</f>
        <v>0</v>
      </c>
      <c r="N18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2" s="455">
        <f t="shared" si="22"/>
        <v>0</v>
      </c>
      <c r="P182" s="457">
        <f t="shared" si="19"/>
        <v>0</v>
      </c>
      <c r="Q182" s="455">
        <f>'Sch4-Cost Savings by ECM'!AA182</f>
        <v>0</v>
      </c>
      <c r="R182" s="455">
        <f t="shared" si="25"/>
        <v>0</v>
      </c>
      <c r="S182" s="455">
        <f t="shared" si="26"/>
        <v>0</v>
      </c>
      <c r="T182" s="455">
        <f t="shared" si="23"/>
        <v>0</v>
      </c>
    </row>
    <row r="183" spans="1:20" ht="17" thickBot="1">
      <c r="A183" s="75" t="str">
        <f>IF('Sch2a-Imp Price by ECM'!B184="","",'Sch2a-Imp Price by ECM'!B184)</f>
        <v/>
      </c>
      <c r="B183" s="174" t="str">
        <f>IF('Sch2a-Imp Price by ECM'!D184="","",'Sch2a-Imp Price by ECM'!D184)</f>
        <v/>
      </c>
      <c r="C183" s="458" t="s">
        <v>431</v>
      </c>
      <c r="D183" s="454">
        <f>'Sch4-Cost Savings by ECM'!O183</f>
        <v>0</v>
      </c>
      <c r="E183" s="454">
        <f>VLOOKUP(C183,'eGRID subregion name'!$A$2:$N$30,8,0)</f>
        <v>189.83531623683197</v>
      </c>
      <c r="F183" s="454">
        <f t="shared" si="24"/>
        <v>0</v>
      </c>
      <c r="G183" s="455">
        <f>'Sch4-Cost Savings by ECM'!S183</f>
        <v>0</v>
      </c>
      <c r="H183" s="455">
        <f>VLOOKUP("Natural Gas", 'GHG Emissions'!$D$2:$M$66,4,FALSE)+VLOOKUP("Natural Gas", 'GHG Emissions'!$D$2:$M$66,6,FALSE)*'eGRID subregion name'!$P$3+VLOOKUP("Natural Gas", 'GHG Emissions'!$D$2:$M$66,8,FALSE)*'eGRID subregion name'!$P$4</f>
        <v>53.114800000000002</v>
      </c>
      <c r="I183" s="455">
        <f t="shared" si="20"/>
        <v>0</v>
      </c>
      <c r="J183" s="455">
        <f>'Sch4-Cost Savings by ECM'!U183</f>
        <v>0</v>
      </c>
      <c r="K18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3" s="455">
        <f t="shared" si="21"/>
        <v>0</v>
      </c>
      <c r="M183" s="455">
        <f>'Sch4-Cost Savings by ECM'!W183</f>
        <v>0</v>
      </c>
      <c r="N18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3" s="455">
        <f t="shared" si="22"/>
        <v>0</v>
      </c>
      <c r="P183" s="457">
        <f t="shared" si="19"/>
        <v>0</v>
      </c>
      <c r="Q183" s="455">
        <f>'Sch4-Cost Savings by ECM'!AA183</f>
        <v>0</v>
      </c>
      <c r="R183" s="455">
        <f t="shared" si="25"/>
        <v>0</v>
      </c>
      <c r="S183" s="455">
        <f t="shared" si="26"/>
        <v>0</v>
      </c>
      <c r="T183" s="455">
        <f t="shared" si="23"/>
        <v>0</v>
      </c>
    </row>
    <row r="184" spans="1:20" ht="17" thickBot="1">
      <c r="A184" s="75" t="str">
        <f>IF('Sch2a-Imp Price by ECM'!B185="","",'Sch2a-Imp Price by ECM'!B185)</f>
        <v/>
      </c>
      <c r="B184" s="174" t="str">
        <f>IF('Sch2a-Imp Price by ECM'!D185="","",'Sch2a-Imp Price by ECM'!D185)</f>
        <v/>
      </c>
      <c r="C184" s="458" t="s">
        <v>431</v>
      </c>
      <c r="D184" s="454">
        <f>'Sch4-Cost Savings by ECM'!O184</f>
        <v>0</v>
      </c>
      <c r="E184" s="454">
        <f>VLOOKUP(C184,'eGRID subregion name'!$A$2:$N$30,8,0)</f>
        <v>189.83531623683197</v>
      </c>
      <c r="F184" s="454">
        <f t="shared" si="24"/>
        <v>0</v>
      </c>
      <c r="G184" s="455">
        <f>'Sch4-Cost Savings by ECM'!S184</f>
        <v>0</v>
      </c>
      <c r="H184" s="455">
        <f>VLOOKUP("Natural Gas", 'GHG Emissions'!$D$2:$M$66,4,FALSE)+VLOOKUP("Natural Gas", 'GHG Emissions'!$D$2:$M$66,6,FALSE)*'eGRID subregion name'!$P$3+VLOOKUP("Natural Gas", 'GHG Emissions'!$D$2:$M$66,8,FALSE)*'eGRID subregion name'!$P$4</f>
        <v>53.114800000000002</v>
      </c>
      <c r="I184" s="455">
        <f t="shared" si="20"/>
        <v>0</v>
      </c>
      <c r="J184" s="455">
        <f>'Sch4-Cost Savings by ECM'!U184</f>
        <v>0</v>
      </c>
      <c r="K18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4" s="455">
        <f t="shared" si="21"/>
        <v>0</v>
      </c>
      <c r="M184" s="455">
        <f>'Sch4-Cost Savings by ECM'!W184</f>
        <v>0</v>
      </c>
      <c r="N18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4" s="455">
        <f t="shared" si="22"/>
        <v>0</v>
      </c>
      <c r="P184" s="457">
        <f t="shared" si="19"/>
        <v>0</v>
      </c>
      <c r="Q184" s="455">
        <f>'Sch4-Cost Savings by ECM'!AA184</f>
        <v>0</v>
      </c>
      <c r="R184" s="455">
        <f t="shared" si="25"/>
        <v>0</v>
      </c>
      <c r="S184" s="455">
        <f t="shared" si="26"/>
        <v>0</v>
      </c>
      <c r="T184" s="455">
        <f t="shared" si="23"/>
        <v>0</v>
      </c>
    </row>
    <row r="185" spans="1:20" ht="17" thickBot="1">
      <c r="A185" s="75" t="str">
        <f>IF('Sch2a-Imp Price by ECM'!B186="","",'Sch2a-Imp Price by ECM'!B186)</f>
        <v/>
      </c>
      <c r="B185" s="174" t="str">
        <f>IF('Sch2a-Imp Price by ECM'!D186="","",'Sch2a-Imp Price by ECM'!D186)</f>
        <v/>
      </c>
      <c r="C185" s="458" t="s">
        <v>431</v>
      </c>
      <c r="D185" s="454">
        <f>'Sch4-Cost Savings by ECM'!O185</f>
        <v>0</v>
      </c>
      <c r="E185" s="454">
        <f>VLOOKUP(C185,'eGRID subregion name'!$A$2:$N$30,8,0)</f>
        <v>189.83531623683197</v>
      </c>
      <c r="F185" s="454">
        <f t="shared" si="24"/>
        <v>0</v>
      </c>
      <c r="G185" s="455">
        <f>'Sch4-Cost Savings by ECM'!S185</f>
        <v>0</v>
      </c>
      <c r="H185" s="455">
        <f>VLOOKUP("Natural Gas", 'GHG Emissions'!$D$2:$M$66,4,FALSE)+VLOOKUP("Natural Gas", 'GHG Emissions'!$D$2:$M$66,6,FALSE)*'eGRID subregion name'!$P$3+VLOOKUP("Natural Gas", 'GHG Emissions'!$D$2:$M$66,8,FALSE)*'eGRID subregion name'!$P$4</f>
        <v>53.114800000000002</v>
      </c>
      <c r="I185" s="455">
        <f t="shared" si="20"/>
        <v>0</v>
      </c>
      <c r="J185" s="455">
        <f>'Sch4-Cost Savings by ECM'!U185</f>
        <v>0</v>
      </c>
      <c r="K18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5" s="455">
        <f t="shared" si="21"/>
        <v>0</v>
      </c>
      <c r="M185" s="455">
        <f>'Sch4-Cost Savings by ECM'!W185</f>
        <v>0</v>
      </c>
      <c r="N18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5" s="455">
        <f t="shared" si="22"/>
        <v>0</v>
      </c>
      <c r="P185" s="457">
        <f t="shared" si="19"/>
        <v>0</v>
      </c>
      <c r="Q185" s="455">
        <f>'Sch4-Cost Savings by ECM'!AA185</f>
        <v>0</v>
      </c>
      <c r="R185" s="455">
        <f t="shared" si="25"/>
        <v>0</v>
      </c>
      <c r="S185" s="455">
        <f t="shared" si="26"/>
        <v>0</v>
      </c>
      <c r="T185" s="455">
        <f t="shared" si="23"/>
        <v>0</v>
      </c>
    </row>
    <row r="186" spans="1:20" ht="17" thickBot="1">
      <c r="A186" s="75" t="str">
        <f>IF('Sch2a-Imp Price by ECM'!B187="","",'Sch2a-Imp Price by ECM'!B187)</f>
        <v/>
      </c>
      <c r="B186" s="174" t="str">
        <f>IF('Sch2a-Imp Price by ECM'!D187="","",'Sch2a-Imp Price by ECM'!D187)</f>
        <v/>
      </c>
      <c r="C186" s="458" t="s">
        <v>431</v>
      </c>
      <c r="D186" s="454">
        <f>'Sch4-Cost Savings by ECM'!O186</f>
        <v>0</v>
      </c>
      <c r="E186" s="454">
        <f>VLOOKUP(C186,'eGRID subregion name'!$A$2:$N$30,8,0)</f>
        <v>189.83531623683197</v>
      </c>
      <c r="F186" s="454">
        <f t="shared" si="24"/>
        <v>0</v>
      </c>
      <c r="G186" s="455">
        <f>'Sch4-Cost Savings by ECM'!S186</f>
        <v>0</v>
      </c>
      <c r="H186" s="455">
        <f>VLOOKUP("Natural Gas", 'GHG Emissions'!$D$2:$M$66,4,FALSE)+VLOOKUP("Natural Gas", 'GHG Emissions'!$D$2:$M$66,6,FALSE)*'eGRID subregion name'!$P$3+VLOOKUP("Natural Gas", 'GHG Emissions'!$D$2:$M$66,8,FALSE)*'eGRID subregion name'!$P$4</f>
        <v>53.114800000000002</v>
      </c>
      <c r="I186" s="455">
        <f t="shared" si="20"/>
        <v>0</v>
      </c>
      <c r="J186" s="455">
        <f>'Sch4-Cost Savings by ECM'!U186</f>
        <v>0</v>
      </c>
      <c r="K18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6" s="455">
        <f t="shared" si="21"/>
        <v>0</v>
      </c>
      <c r="M186" s="455">
        <f>'Sch4-Cost Savings by ECM'!W186</f>
        <v>0</v>
      </c>
      <c r="N18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6" s="455">
        <f t="shared" si="22"/>
        <v>0</v>
      </c>
      <c r="P186" s="457">
        <f t="shared" si="19"/>
        <v>0</v>
      </c>
      <c r="Q186" s="455">
        <f>'Sch4-Cost Savings by ECM'!AA186</f>
        <v>0</v>
      </c>
      <c r="R186" s="455">
        <f t="shared" si="25"/>
        <v>0</v>
      </c>
      <c r="S186" s="455">
        <f t="shared" si="26"/>
        <v>0</v>
      </c>
      <c r="T186" s="455">
        <f t="shared" si="23"/>
        <v>0</v>
      </c>
    </row>
    <row r="187" spans="1:20" ht="17" thickBot="1">
      <c r="A187" s="75" t="str">
        <f>IF('Sch2a-Imp Price by ECM'!B188="","",'Sch2a-Imp Price by ECM'!B188)</f>
        <v/>
      </c>
      <c r="B187" s="174" t="str">
        <f>IF('Sch2a-Imp Price by ECM'!D188="","",'Sch2a-Imp Price by ECM'!D188)</f>
        <v/>
      </c>
      <c r="C187" s="458" t="s">
        <v>431</v>
      </c>
      <c r="D187" s="454">
        <f>'Sch4-Cost Savings by ECM'!O187</f>
        <v>0</v>
      </c>
      <c r="E187" s="454">
        <f>VLOOKUP(C187,'eGRID subregion name'!$A$2:$N$30,8,0)</f>
        <v>189.83531623683197</v>
      </c>
      <c r="F187" s="454">
        <f t="shared" si="24"/>
        <v>0</v>
      </c>
      <c r="G187" s="455">
        <f>'Sch4-Cost Savings by ECM'!S187</f>
        <v>0</v>
      </c>
      <c r="H187" s="455">
        <f>VLOOKUP("Natural Gas", 'GHG Emissions'!$D$2:$M$66,4,FALSE)+VLOOKUP("Natural Gas", 'GHG Emissions'!$D$2:$M$66,6,FALSE)*'eGRID subregion name'!$P$3+VLOOKUP("Natural Gas", 'GHG Emissions'!$D$2:$M$66,8,FALSE)*'eGRID subregion name'!$P$4</f>
        <v>53.114800000000002</v>
      </c>
      <c r="I187" s="455">
        <f t="shared" si="20"/>
        <v>0</v>
      </c>
      <c r="J187" s="455">
        <f>'Sch4-Cost Savings by ECM'!U187</f>
        <v>0</v>
      </c>
      <c r="K18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7" s="455">
        <f t="shared" si="21"/>
        <v>0</v>
      </c>
      <c r="M187" s="455">
        <f>'Sch4-Cost Savings by ECM'!W187</f>
        <v>0</v>
      </c>
      <c r="N18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7" s="455">
        <f t="shared" si="22"/>
        <v>0</v>
      </c>
      <c r="P187" s="457">
        <f t="shared" si="19"/>
        <v>0</v>
      </c>
      <c r="Q187" s="455">
        <f>'Sch4-Cost Savings by ECM'!AA187</f>
        <v>0</v>
      </c>
      <c r="R187" s="455">
        <f t="shared" si="25"/>
        <v>0</v>
      </c>
      <c r="S187" s="455">
        <f t="shared" si="26"/>
        <v>0</v>
      </c>
      <c r="T187" s="455">
        <f t="shared" si="23"/>
        <v>0</v>
      </c>
    </row>
    <row r="188" spans="1:20" ht="17" thickBot="1">
      <c r="A188" s="75" t="str">
        <f>IF('Sch2a-Imp Price by ECM'!B189="","",'Sch2a-Imp Price by ECM'!B189)</f>
        <v/>
      </c>
      <c r="B188" s="174" t="str">
        <f>IF('Sch2a-Imp Price by ECM'!D189="","",'Sch2a-Imp Price by ECM'!D189)</f>
        <v/>
      </c>
      <c r="C188" s="458" t="s">
        <v>431</v>
      </c>
      <c r="D188" s="454">
        <f>'Sch4-Cost Savings by ECM'!O188</f>
        <v>0</v>
      </c>
      <c r="E188" s="454">
        <f>VLOOKUP(C188,'eGRID subregion name'!$A$2:$N$30,8,0)</f>
        <v>189.83531623683197</v>
      </c>
      <c r="F188" s="454">
        <f t="shared" si="24"/>
        <v>0</v>
      </c>
      <c r="G188" s="455">
        <f>'Sch4-Cost Savings by ECM'!S188</f>
        <v>0</v>
      </c>
      <c r="H188" s="455">
        <f>VLOOKUP("Natural Gas", 'GHG Emissions'!$D$2:$M$66,4,FALSE)+VLOOKUP("Natural Gas", 'GHG Emissions'!$D$2:$M$66,6,FALSE)*'eGRID subregion name'!$P$3+VLOOKUP("Natural Gas", 'GHG Emissions'!$D$2:$M$66,8,FALSE)*'eGRID subregion name'!$P$4</f>
        <v>53.114800000000002</v>
      </c>
      <c r="I188" s="455">
        <f t="shared" si="20"/>
        <v>0</v>
      </c>
      <c r="J188" s="455">
        <f>'Sch4-Cost Savings by ECM'!U188</f>
        <v>0</v>
      </c>
      <c r="K18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8" s="455">
        <f t="shared" si="21"/>
        <v>0</v>
      </c>
      <c r="M188" s="455">
        <f>'Sch4-Cost Savings by ECM'!W188</f>
        <v>0</v>
      </c>
      <c r="N18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8" s="455">
        <f t="shared" si="22"/>
        <v>0</v>
      </c>
      <c r="P188" s="457">
        <f t="shared" si="19"/>
        <v>0</v>
      </c>
      <c r="Q188" s="455">
        <f>'Sch4-Cost Savings by ECM'!AA188</f>
        <v>0</v>
      </c>
      <c r="R188" s="455">
        <f t="shared" si="25"/>
        <v>0</v>
      </c>
      <c r="S188" s="455">
        <f t="shared" si="26"/>
        <v>0</v>
      </c>
      <c r="T188" s="455">
        <f t="shared" si="23"/>
        <v>0</v>
      </c>
    </row>
    <row r="189" spans="1:20" ht="17" thickBot="1">
      <c r="A189" s="75" t="str">
        <f>IF('Sch2a-Imp Price by ECM'!B190="","",'Sch2a-Imp Price by ECM'!B190)</f>
        <v/>
      </c>
      <c r="B189" s="174" t="str">
        <f>IF('Sch2a-Imp Price by ECM'!D190="","",'Sch2a-Imp Price by ECM'!D190)</f>
        <v/>
      </c>
      <c r="C189" s="458" t="s">
        <v>431</v>
      </c>
      <c r="D189" s="454">
        <f>'Sch4-Cost Savings by ECM'!O189</f>
        <v>0</v>
      </c>
      <c r="E189" s="454">
        <f>VLOOKUP(C189,'eGRID subregion name'!$A$2:$N$30,8,0)</f>
        <v>189.83531623683197</v>
      </c>
      <c r="F189" s="454">
        <f t="shared" si="24"/>
        <v>0</v>
      </c>
      <c r="G189" s="455">
        <f>'Sch4-Cost Savings by ECM'!S189</f>
        <v>0</v>
      </c>
      <c r="H189" s="455">
        <f>VLOOKUP("Natural Gas", 'GHG Emissions'!$D$2:$M$66,4,FALSE)+VLOOKUP("Natural Gas", 'GHG Emissions'!$D$2:$M$66,6,FALSE)*'eGRID subregion name'!$P$3+VLOOKUP("Natural Gas", 'GHG Emissions'!$D$2:$M$66,8,FALSE)*'eGRID subregion name'!$P$4</f>
        <v>53.114800000000002</v>
      </c>
      <c r="I189" s="455">
        <f t="shared" si="20"/>
        <v>0</v>
      </c>
      <c r="J189" s="455">
        <f>'Sch4-Cost Savings by ECM'!U189</f>
        <v>0</v>
      </c>
      <c r="K18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89" s="455">
        <f t="shared" si="21"/>
        <v>0</v>
      </c>
      <c r="M189" s="455">
        <f>'Sch4-Cost Savings by ECM'!W189</f>
        <v>0</v>
      </c>
      <c r="N18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89" s="455">
        <f t="shared" si="22"/>
        <v>0</v>
      </c>
      <c r="P189" s="457">
        <f t="shared" si="19"/>
        <v>0</v>
      </c>
      <c r="Q189" s="455">
        <f>'Sch4-Cost Savings by ECM'!AA189</f>
        <v>0</v>
      </c>
      <c r="R189" s="455">
        <f t="shared" si="25"/>
        <v>0</v>
      </c>
      <c r="S189" s="455">
        <f t="shared" si="26"/>
        <v>0</v>
      </c>
      <c r="T189" s="455">
        <f t="shared" si="23"/>
        <v>0</v>
      </c>
    </row>
    <row r="190" spans="1:20" ht="17" thickBot="1">
      <c r="A190" s="75" t="str">
        <f>IF('Sch2a-Imp Price by ECM'!B191="","",'Sch2a-Imp Price by ECM'!B191)</f>
        <v/>
      </c>
      <c r="B190" s="174" t="str">
        <f>IF('Sch2a-Imp Price by ECM'!D191="","",'Sch2a-Imp Price by ECM'!D191)</f>
        <v/>
      </c>
      <c r="C190" s="458" t="s">
        <v>431</v>
      </c>
      <c r="D190" s="454">
        <f>'Sch4-Cost Savings by ECM'!O190</f>
        <v>0</v>
      </c>
      <c r="E190" s="454">
        <f>VLOOKUP(C190,'eGRID subregion name'!$A$2:$N$30,8,0)</f>
        <v>189.83531623683197</v>
      </c>
      <c r="F190" s="454">
        <f t="shared" si="24"/>
        <v>0</v>
      </c>
      <c r="G190" s="455">
        <f>'Sch4-Cost Savings by ECM'!S190</f>
        <v>0</v>
      </c>
      <c r="H190" s="455">
        <f>VLOOKUP("Natural Gas", 'GHG Emissions'!$D$2:$M$66,4,FALSE)+VLOOKUP("Natural Gas", 'GHG Emissions'!$D$2:$M$66,6,FALSE)*'eGRID subregion name'!$P$3+VLOOKUP("Natural Gas", 'GHG Emissions'!$D$2:$M$66,8,FALSE)*'eGRID subregion name'!$P$4</f>
        <v>53.114800000000002</v>
      </c>
      <c r="I190" s="455">
        <f t="shared" si="20"/>
        <v>0</v>
      </c>
      <c r="J190" s="455">
        <f>'Sch4-Cost Savings by ECM'!U190</f>
        <v>0</v>
      </c>
      <c r="K19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0" s="455">
        <f t="shared" si="21"/>
        <v>0</v>
      </c>
      <c r="M190" s="455">
        <f>'Sch4-Cost Savings by ECM'!W190</f>
        <v>0</v>
      </c>
      <c r="N19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0" s="455">
        <f t="shared" si="22"/>
        <v>0</v>
      </c>
      <c r="P190" s="457">
        <f t="shared" si="19"/>
        <v>0</v>
      </c>
      <c r="Q190" s="455">
        <f>'Sch4-Cost Savings by ECM'!AA190</f>
        <v>0</v>
      </c>
      <c r="R190" s="455">
        <f t="shared" si="25"/>
        <v>0</v>
      </c>
      <c r="S190" s="455">
        <f t="shared" si="26"/>
        <v>0</v>
      </c>
      <c r="T190" s="455">
        <f t="shared" si="23"/>
        <v>0</v>
      </c>
    </row>
    <row r="191" spans="1:20" ht="17" thickBot="1">
      <c r="A191" s="75" t="str">
        <f>IF('Sch2a-Imp Price by ECM'!B192="","",'Sch2a-Imp Price by ECM'!B192)</f>
        <v/>
      </c>
      <c r="B191" s="174" t="str">
        <f>IF('Sch2a-Imp Price by ECM'!D192="","",'Sch2a-Imp Price by ECM'!D192)</f>
        <v/>
      </c>
      <c r="C191" s="458" t="s">
        <v>431</v>
      </c>
      <c r="D191" s="454">
        <f>'Sch4-Cost Savings by ECM'!O191</f>
        <v>0</v>
      </c>
      <c r="E191" s="454">
        <f>VLOOKUP(C191,'eGRID subregion name'!$A$2:$N$30,8,0)</f>
        <v>189.83531623683197</v>
      </c>
      <c r="F191" s="454">
        <f t="shared" si="24"/>
        <v>0</v>
      </c>
      <c r="G191" s="455">
        <f>'Sch4-Cost Savings by ECM'!S191</f>
        <v>0</v>
      </c>
      <c r="H191" s="455">
        <f>VLOOKUP("Natural Gas", 'GHG Emissions'!$D$2:$M$66,4,FALSE)+VLOOKUP("Natural Gas", 'GHG Emissions'!$D$2:$M$66,6,FALSE)*'eGRID subregion name'!$P$3+VLOOKUP("Natural Gas", 'GHG Emissions'!$D$2:$M$66,8,FALSE)*'eGRID subregion name'!$P$4</f>
        <v>53.114800000000002</v>
      </c>
      <c r="I191" s="455">
        <f t="shared" si="20"/>
        <v>0</v>
      </c>
      <c r="J191" s="455">
        <f>'Sch4-Cost Savings by ECM'!U191</f>
        <v>0</v>
      </c>
      <c r="K19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1" s="455">
        <f t="shared" si="21"/>
        <v>0</v>
      </c>
      <c r="M191" s="455">
        <f>'Sch4-Cost Savings by ECM'!W191</f>
        <v>0</v>
      </c>
      <c r="N19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1" s="455">
        <f t="shared" si="22"/>
        <v>0</v>
      </c>
      <c r="P191" s="457">
        <f t="shared" si="19"/>
        <v>0</v>
      </c>
      <c r="Q191" s="455">
        <f>'Sch4-Cost Savings by ECM'!AA191</f>
        <v>0</v>
      </c>
      <c r="R191" s="455">
        <f t="shared" si="25"/>
        <v>0</v>
      </c>
      <c r="S191" s="455">
        <f t="shared" si="26"/>
        <v>0</v>
      </c>
      <c r="T191" s="455">
        <f t="shared" si="23"/>
        <v>0</v>
      </c>
    </row>
    <row r="192" spans="1:20" ht="17" thickBot="1">
      <c r="A192" s="75" t="str">
        <f>IF('Sch2a-Imp Price by ECM'!B193="","",'Sch2a-Imp Price by ECM'!B193)</f>
        <v/>
      </c>
      <c r="B192" s="174" t="str">
        <f>IF('Sch2a-Imp Price by ECM'!D193="","",'Sch2a-Imp Price by ECM'!D193)</f>
        <v/>
      </c>
      <c r="C192" s="458" t="s">
        <v>431</v>
      </c>
      <c r="D192" s="454">
        <f>'Sch4-Cost Savings by ECM'!O192</f>
        <v>0</v>
      </c>
      <c r="E192" s="454">
        <f>VLOOKUP(C192,'eGRID subregion name'!$A$2:$N$30,8,0)</f>
        <v>189.83531623683197</v>
      </c>
      <c r="F192" s="454">
        <f t="shared" si="24"/>
        <v>0</v>
      </c>
      <c r="G192" s="455">
        <f>'Sch4-Cost Savings by ECM'!S192</f>
        <v>0</v>
      </c>
      <c r="H192" s="455">
        <f>VLOOKUP("Natural Gas", 'GHG Emissions'!$D$2:$M$66,4,FALSE)+VLOOKUP("Natural Gas", 'GHG Emissions'!$D$2:$M$66,6,FALSE)*'eGRID subregion name'!$P$3+VLOOKUP("Natural Gas", 'GHG Emissions'!$D$2:$M$66,8,FALSE)*'eGRID subregion name'!$P$4</f>
        <v>53.114800000000002</v>
      </c>
      <c r="I192" s="455">
        <f t="shared" si="20"/>
        <v>0</v>
      </c>
      <c r="J192" s="455">
        <f>'Sch4-Cost Savings by ECM'!U192</f>
        <v>0</v>
      </c>
      <c r="K19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2" s="455">
        <f t="shared" si="21"/>
        <v>0</v>
      </c>
      <c r="M192" s="455">
        <f>'Sch4-Cost Savings by ECM'!W192</f>
        <v>0</v>
      </c>
      <c r="N19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2" s="455">
        <f t="shared" si="22"/>
        <v>0</v>
      </c>
      <c r="P192" s="457">
        <f t="shared" si="19"/>
        <v>0</v>
      </c>
      <c r="Q192" s="455">
        <f>'Sch4-Cost Savings by ECM'!AA192</f>
        <v>0</v>
      </c>
      <c r="R192" s="455">
        <f t="shared" si="25"/>
        <v>0</v>
      </c>
      <c r="S192" s="455">
        <f t="shared" si="26"/>
        <v>0</v>
      </c>
      <c r="T192" s="455">
        <f t="shared" si="23"/>
        <v>0</v>
      </c>
    </row>
    <row r="193" spans="1:20" ht="17" thickBot="1">
      <c r="A193" s="75" t="str">
        <f>IF('Sch2a-Imp Price by ECM'!B194="","",'Sch2a-Imp Price by ECM'!B194)</f>
        <v/>
      </c>
      <c r="B193" s="174" t="str">
        <f>IF('Sch2a-Imp Price by ECM'!D194="","",'Sch2a-Imp Price by ECM'!D194)</f>
        <v/>
      </c>
      <c r="C193" s="458" t="s">
        <v>431</v>
      </c>
      <c r="D193" s="454">
        <f>'Sch4-Cost Savings by ECM'!O193</f>
        <v>0</v>
      </c>
      <c r="E193" s="454">
        <f>VLOOKUP(C193,'eGRID subregion name'!$A$2:$N$30,8,0)</f>
        <v>189.83531623683197</v>
      </c>
      <c r="F193" s="454">
        <f t="shared" si="24"/>
        <v>0</v>
      </c>
      <c r="G193" s="455">
        <f>'Sch4-Cost Savings by ECM'!S193</f>
        <v>0</v>
      </c>
      <c r="H193" s="455">
        <f>VLOOKUP("Natural Gas", 'GHG Emissions'!$D$2:$M$66,4,FALSE)+VLOOKUP("Natural Gas", 'GHG Emissions'!$D$2:$M$66,6,FALSE)*'eGRID subregion name'!$P$3+VLOOKUP("Natural Gas", 'GHG Emissions'!$D$2:$M$66,8,FALSE)*'eGRID subregion name'!$P$4</f>
        <v>53.114800000000002</v>
      </c>
      <c r="I193" s="455">
        <f t="shared" si="20"/>
        <v>0</v>
      </c>
      <c r="J193" s="455">
        <f>'Sch4-Cost Savings by ECM'!U193</f>
        <v>0</v>
      </c>
      <c r="K19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3" s="455">
        <f t="shared" si="21"/>
        <v>0</v>
      </c>
      <c r="M193" s="455">
        <f>'Sch4-Cost Savings by ECM'!W193</f>
        <v>0</v>
      </c>
      <c r="N19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3" s="455">
        <f t="shared" si="22"/>
        <v>0</v>
      </c>
      <c r="P193" s="457">
        <f t="shared" si="19"/>
        <v>0</v>
      </c>
      <c r="Q193" s="455">
        <f>'Sch4-Cost Savings by ECM'!AA193</f>
        <v>0</v>
      </c>
      <c r="R193" s="455">
        <f t="shared" si="25"/>
        <v>0</v>
      </c>
      <c r="S193" s="455">
        <f t="shared" si="26"/>
        <v>0</v>
      </c>
      <c r="T193" s="455">
        <f t="shared" si="23"/>
        <v>0</v>
      </c>
    </row>
    <row r="194" spans="1:20" ht="17" thickBot="1">
      <c r="A194" s="75" t="str">
        <f>IF('Sch2a-Imp Price by ECM'!B195="","",'Sch2a-Imp Price by ECM'!B195)</f>
        <v/>
      </c>
      <c r="B194" s="174" t="str">
        <f>IF('Sch2a-Imp Price by ECM'!D195="","",'Sch2a-Imp Price by ECM'!D195)</f>
        <v/>
      </c>
      <c r="C194" s="458" t="s">
        <v>431</v>
      </c>
      <c r="D194" s="454">
        <f>'Sch4-Cost Savings by ECM'!O194</f>
        <v>0</v>
      </c>
      <c r="E194" s="454">
        <f>VLOOKUP(C194,'eGRID subregion name'!$A$2:$N$30,8,0)</f>
        <v>189.83531623683197</v>
      </c>
      <c r="F194" s="454">
        <f t="shared" si="24"/>
        <v>0</v>
      </c>
      <c r="G194" s="455">
        <f>'Sch4-Cost Savings by ECM'!S194</f>
        <v>0</v>
      </c>
      <c r="H194" s="455">
        <f>VLOOKUP("Natural Gas", 'GHG Emissions'!$D$2:$M$66,4,FALSE)+VLOOKUP("Natural Gas", 'GHG Emissions'!$D$2:$M$66,6,FALSE)*'eGRID subregion name'!$P$3+VLOOKUP("Natural Gas", 'GHG Emissions'!$D$2:$M$66,8,FALSE)*'eGRID subregion name'!$P$4</f>
        <v>53.114800000000002</v>
      </c>
      <c r="I194" s="455">
        <f t="shared" si="20"/>
        <v>0</v>
      </c>
      <c r="J194" s="455">
        <f>'Sch4-Cost Savings by ECM'!U194</f>
        <v>0</v>
      </c>
      <c r="K19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4" s="455">
        <f t="shared" si="21"/>
        <v>0</v>
      </c>
      <c r="M194" s="455">
        <f>'Sch4-Cost Savings by ECM'!W194</f>
        <v>0</v>
      </c>
      <c r="N19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4" s="455">
        <f t="shared" si="22"/>
        <v>0</v>
      </c>
      <c r="P194" s="457">
        <f t="shared" si="19"/>
        <v>0</v>
      </c>
      <c r="Q194" s="455">
        <f>'Sch4-Cost Savings by ECM'!AA194</f>
        <v>0</v>
      </c>
      <c r="R194" s="455">
        <f t="shared" si="25"/>
        <v>0</v>
      </c>
      <c r="S194" s="455">
        <f t="shared" si="26"/>
        <v>0</v>
      </c>
      <c r="T194" s="455">
        <f t="shared" si="23"/>
        <v>0</v>
      </c>
    </row>
    <row r="195" spans="1:20" ht="17" thickBot="1">
      <c r="A195" s="75" t="str">
        <f>IF('Sch2a-Imp Price by ECM'!B196="","",'Sch2a-Imp Price by ECM'!B196)</f>
        <v/>
      </c>
      <c r="B195" s="174" t="str">
        <f>IF('Sch2a-Imp Price by ECM'!D196="","",'Sch2a-Imp Price by ECM'!D196)</f>
        <v/>
      </c>
      <c r="C195" s="458" t="s">
        <v>431</v>
      </c>
      <c r="D195" s="454">
        <f>'Sch4-Cost Savings by ECM'!O195</f>
        <v>0</v>
      </c>
      <c r="E195" s="454">
        <f>VLOOKUP(C195,'eGRID subregion name'!$A$2:$N$30,8,0)</f>
        <v>189.83531623683197</v>
      </c>
      <c r="F195" s="454">
        <f t="shared" si="24"/>
        <v>0</v>
      </c>
      <c r="G195" s="455">
        <f>'Sch4-Cost Savings by ECM'!S195</f>
        <v>0</v>
      </c>
      <c r="H195" s="455">
        <f>VLOOKUP("Natural Gas", 'GHG Emissions'!$D$2:$M$66,4,FALSE)+VLOOKUP("Natural Gas", 'GHG Emissions'!$D$2:$M$66,6,FALSE)*'eGRID subregion name'!$P$3+VLOOKUP("Natural Gas", 'GHG Emissions'!$D$2:$M$66,8,FALSE)*'eGRID subregion name'!$P$4</f>
        <v>53.114800000000002</v>
      </c>
      <c r="I195" s="455">
        <f t="shared" si="20"/>
        <v>0</v>
      </c>
      <c r="J195" s="455">
        <f>'Sch4-Cost Savings by ECM'!U195</f>
        <v>0</v>
      </c>
      <c r="K19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5" s="455">
        <f t="shared" si="21"/>
        <v>0</v>
      </c>
      <c r="M195" s="455">
        <f>'Sch4-Cost Savings by ECM'!W195</f>
        <v>0</v>
      </c>
      <c r="N19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5" s="455">
        <f t="shared" si="22"/>
        <v>0</v>
      </c>
      <c r="P195" s="457">
        <f t="shared" si="19"/>
        <v>0</v>
      </c>
      <c r="Q195" s="455">
        <f>'Sch4-Cost Savings by ECM'!AA195</f>
        <v>0</v>
      </c>
      <c r="R195" s="455">
        <f t="shared" si="25"/>
        <v>0</v>
      </c>
      <c r="S195" s="455">
        <f t="shared" si="26"/>
        <v>0</v>
      </c>
      <c r="T195" s="455">
        <f t="shared" si="23"/>
        <v>0</v>
      </c>
    </row>
    <row r="196" spans="1:20" ht="17" thickBot="1">
      <c r="A196" s="75" t="str">
        <f>IF('Sch2a-Imp Price by ECM'!B197="","",'Sch2a-Imp Price by ECM'!B197)</f>
        <v/>
      </c>
      <c r="B196" s="174" t="str">
        <f>IF('Sch2a-Imp Price by ECM'!D197="","",'Sch2a-Imp Price by ECM'!D197)</f>
        <v/>
      </c>
      <c r="C196" s="458" t="s">
        <v>431</v>
      </c>
      <c r="D196" s="454">
        <f>'Sch4-Cost Savings by ECM'!O196</f>
        <v>0</v>
      </c>
      <c r="E196" s="454">
        <f>VLOOKUP(C196,'eGRID subregion name'!$A$2:$N$30,8,0)</f>
        <v>189.83531623683197</v>
      </c>
      <c r="F196" s="454">
        <f t="shared" si="24"/>
        <v>0</v>
      </c>
      <c r="G196" s="455">
        <f>'Sch4-Cost Savings by ECM'!S196</f>
        <v>0</v>
      </c>
      <c r="H196" s="455">
        <f>VLOOKUP("Natural Gas", 'GHG Emissions'!$D$2:$M$66,4,FALSE)+VLOOKUP("Natural Gas", 'GHG Emissions'!$D$2:$M$66,6,FALSE)*'eGRID subregion name'!$P$3+VLOOKUP("Natural Gas", 'GHG Emissions'!$D$2:$M$66,8,FALSE)*'eGRID subregion name'!$P$4</f>
        <v>53.114800000000002</v>
      </c>
      <c r="I196" s="455">
        <f t="shared" si="20"/>
        <v>0</v>
      </c>
      <c r="J196" s="455">
        <f>'Sch4-Cost Savings by ECM'!U196</f>
        <v>0</v>
      </c>
      <c r="K19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6" s="455">
        <f t="shared" si="21"/>
        <v>0</v>
      </c>
      <c r="M196" s="455">
        <f>'Sch4-Cost Savings by ECM'!W196</f>
        <v>0</v>
      </c>
      <c r="N19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6" s="455">
        <f t="shared" si="22"/>
        <v>0</v>
      </c>
      <c r="P196" s="457">
        <f t="shared" si="19"/>
        <v>0</v>
      </c>
      <c r="Q196" s="455">
        <f>'Sch4-Cost Savings by ECM'!AA196</f>
        <v>0</v>
      </c>
      <c r="R196" s="455">
        <f t="shared" si="25"/>
        <v>0</v>
      </c>
      <c r="S196" s="455">
        <f t="shared" si="26"/>
        <v>0</v>
      </c>
      <c r="T196" s="455">
        <f t="shared" si="23"/>
        <v>0</v>
      </c>
    </row>
    <row r="197" spans="1:20" ht="17" thickBot="1">
      <c r="A197" s="75" t="str">
        <f>IF('Sch2a-Imp Price by ECM'!B198="","",'Sch2a-Imp Price by ECM'!B198)</f>
        <v/>
      </c>
      <c r="B197" s="174" t="str">
        <f>IF('Sch2a-Imp Price by ECM'!D198="","",'Sch2a-Imp Price by ECM'!D198)</f>
        <v/>
      </c>
      <c r="C197" s="458" t="s">
        <v>431</v>
      </c>
      <c r="D197" s="454">
        <f>'Sch4-Cost Savings by ECM'!O197</f>
        <v>0</v>
      </c>
      <c r="E197" s="454">
        <f>VLOOKUP(C197,'eGRID subregion name'!$A$2:$N$30,8,0)</f>
        <v>189.83531623683197</v>
      </c>
      <c r="F197" s="454">
        <f t="shared" si="24"/>
        <v>0</v>
      </c>
      <c r="G197" s="455">
        <f>'Sch4-Cost Savings by ECM'!S197</f>
        <v>0</v>
      </c>
      <c r="H197" s="455">
        <f>VLOOKUP("Natural Gas", 'GHG Emissions'!$D$2:$M$66,4,FALSE)+VLOOKUP("Natural Gas", 'GHG Emissions'!$D$2:$M$66,6,FALSE)*'eGRID subregion name'!$P$3+VLOOKUP("Natural Gas", 'GHG Emissions'!$D$2:$M$66,8,FALSE)*'eGRID subregion name'!$P$4</f>
        <v>53.114800000000002</v>
      </c>
      <c r="I197" s="455">
        <f t="shared" si="20"/>
        <v>0</v>
      </c>
      <c r="J197" s="455">
        <f>'Sch4-Cost Savings by ECM'!U197</f>
        <v>0</v>
      </c>
      <c r="K19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7" s="455">
        <f t="shared" si="21"/>
        <v>0</v>
      </c>
      <c r="M197" s="455">
        <f>'Sch4-Cost Savings by ECM'!W197</f>
        <v>0</v>
      </c>
      <c r="N19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7" s="455">
        <f t="shared" si="22"/>
        <v>0</v>
      </c>
      <c r="P197" s="457">
        <f t="shared" si="19"/>
        <v>0</v>
      </c>
      <c r="Q197" s="455">
        <f>'Sch4-Cost Savings by ECM'!AA197</f>
        <v>0</v>
      </c>
      <c r="R197" s="455">
        <f t="shared" si="25"/>
        <v>0</v>
      </c>
      <c r="S197" s="455">
        <f t="shared" si="26"/>
        <v>0</v>
      </c>
      <c r="T197" s="455">
        <f t="shared" si="23"/>
        <v>0</v>
      </c>
    </row>
    <row r="198" spans="1:20" ht="17" thickBot="1">
      <c r="A198" s="75" t="str">
        <f>IF('Sch2a-Imp Price by ECM'!B199="","",'Sch2a-Imp Price by ECM'!B199)</f>
        <v/>
      </c>
      <c r="B198" s="174" t="str">
        <f>IF('Sch2a-Imp Price by ECM'!D199="","",'Sch2a-Imp Price by ECM'!D199)</f>
        <v/>
      </c>
      <c r="C198" s="458" t="s">
        <v>431</v>
      </c>
      <c r="D198" s="454">
        <f>'Sch4-Cost Savings by ECM'!O198</f>
        <v>0</v>
      </c>
      <c r="E198" s="454">
        <f>VLOOKUP(C198,'eGRID subregion name'!$A$2:$N$30,8,0)</f>
        <v>189.83531623683197</v>
      </c>
      <c r="F198" s="454">
        <f t="shared" si="24"/>
        <v>0</v>
      </c>
      <c r="G198" s="455">
        <f>'Sch4-Cost Savings by ECM'!S198</f>
        <v>0</v>
      </c>
      <c r="H198" s="455">
        <f>VLOOKUP("Natural Gas", 'GHG Emissions'!$D$2:$M$66,4,FALSE)+VLOOKUP("Natural Gas", 'GHG Emissions'!$D$2:$M$66,6,FALSE)*'eGRID subregion name'!$P$3+VLOOKUP("Natural Gas", 'GHG Emissions'!$D$2:$M$66,8,FALSE)*'eGRID subregion name'!$P$4</f>
        <v>53.114800000000002</v>
      </c>
      <c r="I198" s="455">
        <f t="shared" si="20"/>
        <v>0</v>
      </c>
      <c r="J198" s="455">
        <f>'Sch4-Cost Savings by ECM'!U198</f>
        <v>0</v>
      </c>
      <c r="K19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8" s="455">
        <f t="shared" si="21"/>
        <v>0</v>
      </c>
      <c r="M198" s="455">
        <f>'Sch4-Cost Savings by ECM'!W198</f>
        <v>0</v>
      </c>
      <c r="N19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8" s="455">
        <f t="shared" si="22"/>
        <v>0</v>
      </c>
      <c r="P198" s="457">
        <f t="shared" si="19"/>
        <v>0</v>
      </c>
      <c r="Q198" s="455">
        <f>'Sch4-Cost Savings by ECM'!AA198</f>
        <v>0</v>
      </c>
      <c r="R198" s="455">
        <f t="shared" si="25"/>
        <v>0</v>
      </c>
      <c r="S198" s="455">
        <f t="shared" si="26"/>
        <v>0</v>
      </c>
      <c r="T198" s="455">
        <f t="shared" si="23"/>
        <v>0</v>
      </c>
    </row>
    <row r="199" spans="1:20" ht="17" thickBot="1">
      <c r="A199" s="75" t="str">
        <f>IF('Sch2a-Imp Price by ECM'!B200="","",'Sch2a-Imp Price by ECM'!B200)</f>
        <v/>
      </c>
      <c r="B199" s="174" t="str">
        <f>IF('Sch2a-Imp Price by ECM'!D200="","",'Sch2a-Imp Price by ECM'!D200)</f>
        <v/>
      </c>
      <c r="C199" s="458" t="s">
        <v>431</v>
      </c>
      <c r="D199" s="454">
        <f>'Sch4-Cost Savings by ECM'!O199</f>
        <v>0</v>
      </c>
      <c r="E199" s="454">
        <f>VLOOKUP(C199,'eGRID subregion name'!$A$2:$N$30,8,0)</f>
        <v>189.83531623683197</v>
      </c>
      <c r="F199" s="454">
        <f t="shared" si="24"/>
        <v>0</v>
      </c>
      <c r="G199" s="455">
        <f>'Sch4-Cost Savings by ECM'!S199</f>
        <v>0</v>
      </c>
      <c r="H199" s="455">
        <f>VLOOKUP("Natural Gas", 'GHG Emissions'!$D$2:$M$66,4,FALSE)+VLOOKUP("Natural Gas", 'GHG Emissions'!$D$2:$M$66,6,FALSE)*'eGRID subregion name'!$P$3+VLOOKUP("Natural Gas", 'GHG Emissions'!$D$2:$M$66,8,FALSE)*'eGRID subregion name'!$P$4</f>
        <v>53.114800000000002</v>
      </c>
      <c r="I199" s="455">
        <f t="shared" si="20"/>
        <v>0</v>
      </c>
      <c r="J199" s="455">
        <f>'Sch4-Cost Savings by ECM'!U199</f>
        <v>0</v>
      </c>
      <c r="K19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199" s="455">
        <f t="shared" si="21"/>
        <v>0</v>
      </c>
      <c r="M199" s="455">
        <f>'Sch4-Cost Savings by ECM'!W199</f>
        <v>0</v>
      </c>
      <c r="N19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199" s="455">
        <f t="shared" si="22"/>
        <v>0</v>
      </c>
      <c r="P199" s="457">
        <f t="shared" si="19"/>
        <v>0</v>
      </c>
      <c r="Q199" s="455">
        <f>'Sch4-Cost Savings by ECM'!AA199</f>
        <v>0</v>
      </c>
      <c r="R199" s="455">
        <f t="shared" si="25"/>
        <v>0</v>
      </c>
      <c r="S199" s="455">
        <f t="shared" si="26"/>
        <v>0</v>
      </c>
      <c r="T199" s="455">
        <f t="shared" si="23"/>
        <v>0</v>
      </c>
    </row>
    <row r="200" spans="1:20" ht="17" thickBot="1">
      <c r="A200" s="75" t="str">
        <f>IF('Sch2a-Imp Price by ECM'!B201="","",'Sch2a-Imp Price by ECM'!B201)</f>
        <v/>
      </c>
      <c r="B200" s="174" t="str">
        <f>IF('Sch2a-Imp Price by ECM'!D201="","",'Sch2a-Imp Price by ECM'!D201)</f>
        <v/>
      </c>
      <c r="C200" s="458" t="s">
        <v>431</v>
      </c>
      <c r="D200" s="454">
        <f>'Sch4-Cost Savings by ECM'!O200</f>
        <v>0</v>
      </c>
      <c r="E200" s="454">
        <f>VLOOKUP(C200,'eGRID subregion name'!$A$2:$N$30,8,0)</f>
        <v>189.83531623683197</v>
      </c>
      <c r="F200" s="454">
        <f t="shared" si="24"/>
        <v>0</v>
      </c>
      <c r="G200" s="455">
        <f>'Sch4-Cost Savings by ECM'!S200</f>
        <v>0</v>
      </c>
      <c r="H200" s="455">
        <f>VLOOKUP("Natural Gas", 'GHG Emissions'!$D$2:$M$66,4,FALSE)+VLOOKUP("Natural Gas", 'GHG Emissions'!$D$2:$M$66,6,FALSE)*'eGRID subregion name'!$P$3+VLOOKUP("Natural Gas", 'GHG Emissions'!$D$2:$M$66,8,FALSE)*'eGRID subregion name'!$P$4</f>
        <v>53.114800000000002</v>
      </c>
      <c r="I200" s="455">
        <f t="shared" si="20"/>
        <v>0</v>
      </c>
      <c r="J200" s="455">
        <f>'Sch4-Cost Savings by ECM'!U200</f>
        <v>0</v>
      </c>
      <c r="K20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0" s="455">
        <f t="shared" si="21"/>
        <v>0</v>
      </c>
      <c r="M200" s="455">
        <f>'Sch4-Cost Savings by ECM'!W200</f>
        <v>0</v>
      </c>
      <c r="N20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0" s="455">
        <f t="shared" si="22"/>
        <v>0</v>
      </c>
      <c r="P200" s="457">
        <f t="shared" ref="P200:P257" si="27">(D200*3412/10^6)+G200+J200+M200</f>
        <v>0</v>
      </c>
      <c r="Q200" s="455">
        <f>'Sch4-Cost Savings by ECM'!AA200</f>
        <v>0</v>
      </c>
      <c r="R200" s="455">
        <f t="shared" si="25"/>
        <v>0</v>
      </c>
      <c r="S200" s="455">
        <f t="shared" si="26"/>
        <v>0</v>
      </c>
      <c r="T200" s="455">
        <f t="shared" si="23"/>
        <v>0</v>
      </c>
    </row>
    <row r="201" spans="1:20" ht="17" thickBot="1">
      <c r="A201" s="75" t="str">
        <f>IF('Sch2a-Imp Price by ECM'!B202="","",'Sch2a-Imp Price by ECM'!B202)</f>
        <v/>
      </c>
      <c r="B201" s="174" t="str">
        <f>IF('Sch2a-Imp Price by ECM'!D202="","",'Sch2a-Imp Price by ECM'!D202)</f>
        <v/>
      </c>
      <c r="C201" s="458" t="s">
        <v>431</v>
      </c>
      <c r="D201" s="454">
        <f>'Sch4-Cost Savings by ECM'!O201</f>
        <v>0</v>
      </c>
      <c r="E201" s="454">
        <f>VLOOKUP(C201,'eGRID subregion name'!$A$2:$N$30,8,0)</f>
        <v>189.83531623683197</v>
      </c>
      <c r="F201" s="454">
        <f t="shared" si="24"/>
        <v>0</v>
      </c>
      <c r="G201" s="455">
        <f>'Sch4-Cost Savings by ECM'!S201</f>
        <v>0</v>
      </c>
      <c r="H201" s="455">
        <f>VLOOKUP("Natural Gas", 'GHG Emissions'!$D$2:$M$66,4,FALSE)+VLOOKUP("Natural Gas", 'GHG Emissions'!$D$2:$M$66,6,FALSE)*'eGRID subregion name'!$P$3+VLOOKUP("Natural Gas", 'GHG Emissions'!$D$2:$M$66,8,FALSE)*'eGRID subregion name'!$P$4</f>
        <v>53.114800000000002</v>
      </c>
      <c r="I201" s="455">
        <f t="shared" ref="I201:I257" si="28">G201*H201</f>
        <v>0</v>
      </c>
      <c r="J201" s="455">
        <f>'Sch4-Cost Savings by ECM'!U201</f>
        <v>0</v>
      </c>
      <c r="K20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1" s="455">
        <f t="shared" ref="L201:L257" si="29">K201*J201</f>
        <v>0</v>
      </c>
      <c r="M201" s="455">
        <f>'Sch4-Cost Savings by ECM'!W201</f>
        <v>0</v>
      </c>
      <c r="N20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1" s="455">
        <f t="shared" ref="O201:O257" si="30">M201*N201</f>
        <v>0</v>
      </c>
      <c r="P201" s="457">
        <f t="shared" si="27"/>
        <v>0</v>
      </c>
      <c r="Q201" s="455">
        <f>'Sch4-Cost Savings by ECM'!AA201</f>
        <v>0</v>
      </c>
      <c r="R201" s="455">
        <f t="shared" si="25"/>
        <v>0</v>
      </c>
      <c r="S201" s="455">
        <f t="shared" si="26"/>
        <v>0</v>
      </c>
      <c r="T201" s="455">
        <f t="shared" ref="T201:T257" si="31">R201+S201</f>
        <v>0</v>
      </c>
    </row>
    <row r="202" spans="1:20" ht="18" customHeight="1" thickBot="1">
      <c r="A202" s="75" t="str">
        <f>IF('Sch2a-Imp Price by ECM'!B203="","",'Sch2a-Imp Price by ECM'!B203)</f>
        <v/>
      </c>
      <c r="B202" s="174" t="str">
        <f>IF('Sch2a-Imp Price by ECM'!D203="","",'Sch2a-Imp Price by ECM'!D203)</f>
        <v/>
      </c>
      <c r="C202" s="458" t="s">
        <v>431</v>
      </c>
      <c r="D202" s="454">
        <f>'Sch4-Cost Savings by ECM'!O202</f>
        <v>0</v>
      </c>
      <c r="E202" s="454">
        <f>VLOOKUP(C202,'eGRID subregion name'!$A$2:$N$30,8,0)</f>
        <v>189.83531623683197</v>
      </c>
      <c r="F202" s="454">
        <f t="shared" ref="F202:F257" si="32">D202*3412*E202/1000000</f>
        <v>0</v>
      </c>
      <c r="G202" s="455">
        <f>'Sch4-Cost Savings by ECM'!S202</f>
        <v>0</v>
      </c>
      <c r="H202" s="455">
        <f>VLOOKUP("Natural Gas", 'GHG Emissions'!$D$2:$M$66,4,FALSE)+VLOOKUP("Natural Gas", 'GHG Emissions'!$D$2:$M$66,6,FALSE)*'eGRID subregion name'!$P$3+VLOOKUP("Natural Gas", 'GHG Emissions'!$D$2:$M$66,8,FALSE)*'eGRID subregion name'!$P$4</f>
        <v>53.114800000000002</v>
      </c>
      <c r="I202" s="455">
        <f t="shared" si="28"/>
        <v>0</v>
      </c>
      <c r="J202" s="455">
        <f>'Sch4-Cost Savings by ECM'!U202</f>
        <v>0</v>
      </c>
      <c r="K20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2" s="455">
        <f t="shared" si="29"/>
        <v>0</v>
      </c>
      <c r="M202" s="455">
        <f>'Sch4-Cost Savings by ECM'!W202</f>
        <v>0</v>
      </c>
      <c r="N20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2" s="455">
        <f t="shared" si="30"/>
        <v>0</v>
      </c>
      <c r="P202" s="457">
        <f t="shared" si="27"/>
        <v>0</v>
      </c>
      <c r="Q202" s="455">
        <f>'Sch4-Cost Savings by ECM'!AA202</f>
        <v>0</v>
      </c>
      <c r="R202" s="455">
        <f t="shared" ref="R202:R257" si="33">I202+(IF($L$5&lt;&gt;"Other Savings Type 1: Chilled Water",L202,0)+IF($O$5&lt;&gt;"Other Savings Type 2: Chilled Water",O202,0))</f>
        <v>0</v>
      </c>
      <c r="S202" s="455">
        <f t="shared" ref="S202:S257" si="34">F202+(IF($L$5="Other Savings Type 1: Chilled Water",L202,0)+IF($O$5="Other Savings Type 2: Chilled Water",O202,0))</f>
        <v>0</v>
      </c>
      <c r="T202" s="455">
        <f t="shared" si="31"/>
        <v>0</v>
      </c>
    </row>
    <row r="203" spans="1:20" ht="17" thickBot="1">
      <c r="A203" s="75" t="str">
        <f>IF('Sch2a-Imp Price by ECM'!B204="","",'Sch2a-Imp Price by ECM'!B204)</f>
        <v/>
      </c>
      <c r="B203" s="174" t="str">
        <f>IF('Sch2a-Imp Price by ECM'!D204="","",'Sch2a-Imp Price by ECM'!D204)</f>
        <v/>
      </c>
      <c r="C203" s="458" t="s">
        <v>431</v>
      </c>
      <c r="D203" s="454">
        <f>'Sch4-Cost Savings by ECM'!O203</f>
        <v>0</v>
      </c>
      <c r="E203" s="454">
        <f>VLOOKUP(C203,'eGRID subregion name'!$A$2:$N$30,8,0)</f>
        <v>189.83531623683197</v>
      </c>
      <c r="F203" s="454">
        <f t="shared" si="32"/>
        <v>0</v>
      </c>
      <c r="G203" s="455">
        <f>'Sch4-Cost Savings by ECM'!S203</f>
        <v>0</v>
      </c>
      <c r="H203" s="455">
        <f>VLOOKUP("Natural Gas", 'GHG Emissions'!$D$2:$M$66,4,FALSE)+VLOOKUP("Natural Gas", 'GHG Emissions'!$D$2:$M$66,6,FALSE)*'eGRID subregion name'!$P$3+VLOOKUP("Natural Gas", 'GHG Emissions'!$D$2:$M$66,8,FALSE)*'eGRID subregion name'!$P$4</f>
        <v>53.114800000000002</v>
      </c>
      <c r="I203" s="455">
        <f t="shared" si="28"/>
        <v>0</v>
      </c>
      <c r="J203" s="455">
        <f>'Sch4-Cost Savings by ECM'!U203</f>
        <v>0</v>
      </c>
      <c r="K20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3" s="455">
        <f t="shared" si="29"/>
        <v>0</v>
      </c>
      <c r="M203" s="455">
        <f>'Sch4-Cost Savings by ECM'!W203</f>
        <v>0</v>
      </c>
      <c r="N20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3" s="455">
        <f t="shared" si="30"/>
        <v>0</v>
      </c>
      <c r="P203" s="457">
        <f t="shared" si="27"/>
        <v>0</v>
      </c>
      <c r="Q203" s="455">
        <f>'Sch4-Cost Savings by ECM'!AA203</f>
        <v>0</v>
      </c>
      <c r="R203" s="455">
        <f t="shared" si="33"/>
        <v>0</v>
      </c>
      <c r="S203" s="455">
        <f t="shared" si="34"/>
        <v>0</v>
      </c>
      <c r="T203" s="455">
        <f t="shared" si="31"/>
        <v>0</v>
      </c>
    </row>
    <row r="204" spans="1:20" ht="17" thickBot="1">
      <c r="A204" s="75" t="str">
        <f>IF('Sch2a-Imp Price by ECM'!B205="","",'Sch2a-Imp Price by ECM'!B205)</f>
        <v/>
      </c>
      <c r="B204" s="174" t="str">
        <f>IF('Sch2a-Imp Price by ECM'!D205="","",'Sch2a-Imp Price by ECM'!D205)</f>
        <v/>
      </c>
      <c r="C204" s="458" t="s">
        <v>431</v>
      </c>
      <c r="D204" s="454">
        <f>'Sch4-Cost Savings by ECM'!O204</f>
        <v>0</v>
      </c>
      <c r="E204" s="454">
        <f>VLOOKUP(C204,'eGRID subregion name'!$A$2:$N$30,8,0)</f>
        <v>189.83531623683197</v>
      </c>
      <c r="F204" s="454">
        <f t="shared" si="32"/>
        <v>0</v>
      </c>
      <c r="G204" s="455">
        <f>'Sch4-Cost Savings by ECM'!S204</f>
        <v>0</v>
      </c>
      <c r="H204" s="455">
        <f>VLOOKUP("Natural Gas", 'GHG Emissions'!$D$2:$M$66,4,FALSE)+VLOOKUP("Natural Gas", 'GHG Emissions'!$D$2:$M$66,6,FALSE)*'eGRID subregion name'!$P$3+VLOOKUP("Natural Gas", 'GHG Emissions'!$D$2:$M$66,8,FALSE)*'eGRID subregion name'!$P$4</f>
        <v>53.114800000000002</v>
      </c>
      <c r="I204" s="455">
        <f t="shared" si="28"/>
        <v>0</v>
      </c>
      <c r="J204" s="455">
        <f>'Sch4-Cost Savings by ECM'!U204</f>
        <v>0</v>
      </c>
      <c r="K20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4" s="455">
        <f t="shared" si="29"/>
        <v>0</v>
      </c>
      <c r="M204" s="455">
        <f>'Sch4-Cost Savings by ECM'!W204</f>
        <v>0</v>
      </c>
      <c r="N20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4" s="455">
        <f t="shared" si="30"/>
        <v>0</v>
      </c>
      <c r="P204" s="457">
        <f t="shared" si="27"/>
        <v>0</v>
      </c>
      <c r="Q204" s="455">
        <f>'Sch4-Cost Savings by ECM'!AA204</f>
        <v>0</v>
      </c>
      <c r="R204" s="455">
        <f t="shared" si="33"/>
        <v>0</v>
      </c>
      <c r="S204" s="455">
        <f t="shared" si="34"/>
        <v>0</v>
      </c>
      <c r="T204" s="455">
        <f t="shared" si="31"/>
        <v>0</v>
      </c>
    </row>
    <row r="205" spans="1:20" ht="17" thickBot="1">
      <c r="A205" s="75" t="str">
        <f>IF('Sch2a-Imp Price by ECM'!B206="","",'Sch2a-Imp Price by ECM'!B206)</f>
        <v/>
      </c>
      <c r="B205" s="174" t="str">
        <f>IF('Sch2a-Imp Price by ECM'!D206="","",'Sch2a-Imp Price by ECM'!D206)</f>
        <v/>
      </c>
      <c r="C205" s="458" t="s">
        <v>431</v>
      </c>
      <c r="D205" s="454">
        <f>'Sch4-Cost Savings by ECM'!O205</f>
        <v>0</v>
      </c>
      <c r="E205" s="454">
        <f>VLOOKUP(C205,'eGRID subregion name'!$A$2:$N$30,8,0)</f>
        <v>189.83531623683197</v>
      </c>
      <c r="F205" s="454">
        <f t="shared" si="32"/>
        <v>0</v>
      </c>
      <c r="G205" s="455">
        <f>'Sch4-Cost Savings by ECM'!S205</f>
        <v>0</v>
      </c>
      <c r="H205" s="455">
        <f>VLOOKUP("Natural Gas", 'GHG Emissions'!$D$2:$M$66,4,FALSE)+VLOOKUP("Natural Gas", 'GHG Emissions'!$D$2:$M$66,6,FALSE)*'eGRID subregion name'!$P$3+VLOOKUP("Natural Gas", 'GHG Emissions'!$D$2:$M$66,8,FALSE)*'eGRID subregion name'!$P$4</f>
        <v>53.114800000000002</v>
      </c>
      <c r="I205" s="455">
        <f t="shared" si="28"/>
        <v>0</v>
      </c>
      <c r="J205" s="455">
        <f>'Sch4-Cost Savings by ECM'!U205</f>
        <v>0</v>
      </c>
      <c r="K20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5" s="455">
        <f t="shared" si="29"/>
        <v>0</v>
      </c>
      <c r="M205" s="455">
        <f>'Sch4-Cost Savings by ECM'!W205</f>
        <v>0</v>
      </c>
      <c r="N20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5" s="455">
        <f t="shared" si="30"/>
        <v>0</v>
      </c>
      <c r="P205" s="457">
        <f t="shared" si="27"/>
        <v>0</v>
      </c>
      <c r="Q205" s="455">
        <f>'Sch4-Cost Savings by ECM'!AA205</f>
        <v>0</v>
      </c>
      <c r="R205" s="455">
        <f t="shared" si="33"/>
        <v>0</v>
      </c>
      <c r="S205" s="455">
        <f t="shared" si="34"/>
        <v>0</v>
      </c>
      <c r="T205" s="455">
        <f t="shared" si="31"/>
        <v>0</v>
      </c>
    </row>
    <row r="206" spans="1:20" ht="17" thickBot="1">
      <c r="A206" s="75" t="str">
        <f>IF('Sch2a-Imp Price by ECM'!B207="","",'Sch2a-Imp Price by ECM'!B207)</f>
        <v/>
      </c>
      <c r="B206" s="174" t="str">
        <f>IF('Sch2a-Imp Price by ECM'!D207="","",'Sch2a-Imp Price by ECM'!D207)</f>
        <v/>
      </c>
      <c r="C206" s="458" t="s">
        <v>431</v>
      </c>
      <c r="D206" s="454">
        <f>'Sch4-Cost Savings by ECM'!O206</f>
        <v>0</v>
      </c>
      <c r="E206" s="454">
        <f>VLOOKUP(C206,'eGRID subregion name'!$A$2:$N$30,8,0)</f>
        <v>189.83531623683197</v>
      </c>
      <c r="F206" s="454">
        <f t="shared" si="32"/>
        <v>0</v>
      </c>
      <c r="G206" s="455">
        <f>'Sch4-Cost Savings by ECM'!S206</f>
        <v>0</v>
      </c>
      <c r="H206" s="455">
        <f>VLOOKUP("Natural Gas", 'GHG Emissions'!$D$2:$M$66,4,FALSE)+VLOOKUP("Natural Gas", 'GHG Emissions'!$D$2:$M$66,6,FALSE)*'eGRID subregion name'!$P$3+VLOOKUP("Natural Gas", 'GHG Emissions'!$D$2:$M$66,8,FALSE)*'eGRID subregion name'!$P$4</f>
        <v>53.114800000000002</v>
      </c>
      <c r="I206" s="455">
        <f t="shared" si="28"/>
        <v>0</v>
      </c>
      <c r="J206" s="455">
        <f>'Sch4-Cost Savings by ECM'!U206</f>
        <v>0</v>
      </c>
      <c r="K20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6" s="455">
        <f t="shared" si="29"/>
        <v>0</v>
      </c>
      <c r="M206" s="455">
        <f>'Sch4-Cost Savings by ECM'!W206</f>
        <v>0</v>
      </c>
      <c r="N20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6" s="455">
        <f t="shared" si="30"/>
        <v>0</v>
      </c>
      <c r="P206" s="457">
        <f t="shared" si="27"/>
        <v>0</v>
      </c>
      <c r="Q206" s="455">
        <f>'Sch4-Cost Savings by ECM'!AA206</f>
        <v>0</v>
      </c>
      <c r="R206" s="455">
        <f t="shared" si="33"/>
        <v>0</v>
      </c>
      <c r="S206" s="455">
        <f t="shared" si="34"/>
        <v>0</v>
      </c>
      <c r="T206" s="455">
        <f t="shared" si="31"/>
        <v>0</v>
      </c>
    </row>
    <row r="207" spans="1:20" ht="17" thickBot="1">
      <c r="A207" s="75" t="str">
        <f>IF('Sch2a-Imp Price by ECM'!B208="","",'Sch2a-Imp Price by ECM'!B208)</f>
        <v/>
      </c>
      <c r="B207" s="174" t="str">
        <f>IF('Sch2a-Imp Price by ECM'!D208="","",'Sch2a-Imp Price by ECM'!D208)</f>
        <v/>
      </c>
      <c r="C207" s="458" t="s">
        <v>431</v>
      </c>
      <c r="D207" s="454">
        <f>'Sch4-Cost Savings by ECM'!O207</f>
        <v>0</v>
      </c>
      <c r="E207" s="454">
        <f>VLOOKUP(C207,'eGRID subregion name'!$A$2:$N$30,8,0)</f>
        <v>189.83531623683197</v>
      </c>
      <c r="F207" s="454">
        <f t="shared" si="32"/>
        <v>0</v>
      </c>
      <c r="G207" s="455">
        <f>'Sch4-Cost Savings by ECM'!S207</f>
        <v>0</v>
      </c>
      <c r="H207" s="455">
        <f>VLOOKUP("Natural Gas", 'GHG Emissions'!$D$2:$M$66,4,FALSE)+VLOOKUP("Natural Gas", 'GHG Emissions'!$D$2:$M$66,6,FALSE)*'eGRID subregion name'!$P$3+VLOOKUP("Natural Gas", 'GHG Emissions'!$D$2:$M$66,8,FALSE)*'eGRID subregion name'!$P$4</f>
        <v>53.114800000000002</v>
      </c>
      <c r="I207" s="455">
        <f t="shared" si="28"/>
        <v>0</v>
      </c>
      <c r="J207" s="455">
        <f>'Sch4-Cost Savings by ECM'!U207</f>
        <v>0</v>
      </c>
      <c r="K20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7" s="455">
        <f t="shared" si="29"/>
        <v>0</v>
      </c>
      <c r="M207" s="455">
        <f>'Sch4-Cost Savings by ECM'!W207</f>
        <v>0</v>
      </c>
      <c r="N20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7" s="455">
        <f t="shared" si="30"/>
        <v>0</v>
      </c>
      <c r="P207" s="457">
        <f t="shared" si="27"/>
        <v>0</v>
      </c>
      <c r="Q207" s="455">
        <f>'Sch4-Cost Savings by ECM'!AA207</f>
        <v>0</v>
      </c>
      <c r="R207" s="455">
        <f t="shared" si="33"/>
        <v>0</v>
      </c>
      <c r="S207" s="455">
        <f t="shared" si="34"/>
        <v>0</v>
      </c>
      <c r="T207" s="455">
        <f t="shared" si="31"/>
        <v>0</v>
      </c>
    </row>
    <row r="208" spans="1:20" ht="17" thickBot="1">
      <c r="A208" s="75" t="str">
        <f>IF('Sch2a-Imp Price by ECM'!B209="","",'Sch2a-Imp Price by ECM'!B209)</f>
        <v/>
      </c>
      <c r="B208" s="174" t="str">
        <f>IF('Sch2a-Imp Price by ECM'!D209="","",'Sch2a-Imp Price by ECM'!D209)</f>
        <v/>
      </c>
      <c r="C208" s="458" t="s">
        <v>431</v>
      </c>
      <c r="D208" s="454">
        <f>'Sch4-Cost Savings by ECM'!O208</f>
        <v>0</v>
      </c>
      <c r="E208" s="454">
        <f>VLOOKUP(C208,'eGRID subregion name'!$A$2:$N$30,8,0)</f>
        <v>189.83531623683197</v>
      </c>
      <c r="F208" s="454">
        <f t="shared" si="32"/>
        <v>0</v>
      </c>
      <c r="G208" s="455">
        <f>'Sch4-Cost Savings by ECM'!S208</f>
        <v>0</v>
      </c>
      <c r="H208" s="455">
        <f>VLOOKUP("Natural Gas", 'GHG Emissions'!$D$2:$M$66,4,FALSE)+VLOOKUP("Natural Gas", 'GHG Emissions'!$D$2:$M$66,6,FALSE)*'eGRID subregion name'!$P$3+VLOOKUP("Natural Gas", 'GHG Emissions'!$D$2:$M$66,8,FALSE)*'eGRID subregion name'!$P$4</f>
        <v>53.114800000000002</v>
      </c>
      <c r="I208" s="455">
        <f t="shared" si="28"/>
        <v>0</v>
      </c>
      <c r="J208" s="455">
        <f>'Sch4-Cost Savings by ECM'!U208</f>
        <v>0</v>
      </c>
      <c r="K20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8" s="455">
        <f t="shared" si="29"/>
        <v>0</v>
      </c>
      <c r="M208" s="455">
        <f>'Sch4-Cost Savings by ECM'!W208</f>
        <v>0</v>
      </c>
      <c r="N20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8" s="455">
        <f t="shared" si="30"/>
        <v>0</v>
      </c>
      <c r="P208" s="457">
        <f t="shared" si="27"/>
        <v>0</v>
      </c>
      <c r="Q208" s="455">
        <f>'Sch4-Cost Savings by ECM'!AA208</f>
        <v>0</v>
      </c>
      <c r="R208" s="455">
        <f t="shared" si="33"/>
        <v>0</v>
      </c>
      <c r="S208" s="455">
        <f t="shared" si="34"/>
        <v>0</v>
      </c>
      <c r="T208" s="455">
        <f t="shared" si="31"/>
        <v>0</v>
      </c>
    </row>
    <row r="209" spans="1:20" ht="17" thickBot="1">
      <c r="A209" s="75" t="str">
        <f>IF('Sch2a-Imp Price by ECM'!B210="","",'Sch2a-Imp Price by ECM'!B210)</f>
        <v/>
      </c>
      <c r="B209" s="174" t="str">
        <f>IF('Sch2a-Imp Price by ECM'!D210="","",'Sch2a-Imp Price by ECM'!D210)</f>
        <v/>
      </c>
      <c r="C209" s="458" t="s">
        <v>431</v>
      </c>
      <c r="D209" s="454">
        <f>'Sch4-Cost Savings by ECM'!O209</f>
        <v>0</v>
      </c>
      <c r="E209" s="454">
        <f>VLOOKUP(C209,'eGRID subregion name'!$A$2:$N$30,8,0)</f>
        <v>189.83531623683197</v>
      </c>
      <c r="F209" s="454">
        <f t="shared" si="32"/>
        <v>0</v>
      </c>
      <c r="G209" s="455">
        <f>'Sch4-Cost Savings by ECM'!S209</f>
        <v>0</v>
      </c>
      <c r="H209" s="455">
        <f>VLOOKUP("Natural Gas", 'GHG Emissions'!$D$2:$M$66,4,FALSE)+VLOOKUP("Natural Gas", 'GHG Emissions'!$D$2:$M$66,6,FALSE)*'eGRID subregion name'!$P$3+VLOOKUP("Natural Gas", 'GHG Emissions'!$D$2:$M$66,8,FALSE)*'eGRID subregion name'!$P$4</f>
        <v>53.114800000000002</v>
      </c>
      <c r="I209" s="455">
        <f t="shared" si="28"/>
        <v>0</v>
      </c>
      <c r="J209" s="455">
        <f>'Sch4-Cost Savings by ECM'!U209</f>
        <v>0</v>
      </c>
      <c r="K20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09" s="455">
        <f t="shared" si="29"/>
        <v>0</v>
      </c>
      <c r="M209" s="455">
        <f>'Sch4-Cost Savings by ECM'!W209</f>
        <v>0</v>
      </c>
      <c r="N20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09" s="455">
        <f t="shared" si="30"/>
        <v>0</v>
      </c>
      <c r="P209" s="457">
        <f t="shared" si="27"/>
        <v>0</v>
      </c>
      <c r="Q209" s="455">
        <f>'Sch4-Cost Savings by ECM'!AA209</f>
        <v>0</v>
      </c>
      <c r="R209" s="455">
        <f t="shared" si="33"/>
        <v>0</v>
      </c>
      <c r="S209" s="455">
        <f t="shared" si="34"/>
        <v>0</v>
      </c>
      <c r="T209" s="455">
        <f t="shared" si="31"/>
        <v>0</v>
      </c>
    </row>
    <row r="210" spans="1:20" ht="17" thickBot="1">
      <c r="A210" s="75" t="str">
        <f>IF('Sch2a-Imp Price by ECM'!B211="","",'Sch2a-Imp Price by ECM'!B211)</f>
        <v/>
      </c>
      <c r="B210" s="174" t="str">
        <f>IF('Sch2a-Imp Price by ECM'!D211="","",'Sch2a-Imp Price by ECM'!D211)</f>
        <v/>
      </c>
      <c r="C210" s="458" t="s">
        <v>431</v>
      </c>
      <c r="D210" s="454">
        <f>'Sch4-Cost Savings by ECM'!O210</f>
        <v>0</v>
      </c>
      <c r="E210" s="454">
        <f>VLOOKUP(C210,'eGRID subregion name'!$A$2:$N$30,8,0)</f>
        <v>189.83531623683197</v>
      </c>
      <c r="F210" s="454">
        <f t="shared" si="32"/>
        <v>0</v>
      </c>
      <c r="G210" s="455">
        <f>'Sch4-Cost Savings by ECM'!S210</f>
        <v>0</v>
      </c>
      <c r="H210" s="455">
        <f>VLOOKUP("Natural Gas", 'GHG Emissions'!$D$2:$M$66,4,FALSE)+VLOOKUP("Natural Gas", 'GHG Emissions'!$D$2:$M$66,6,FALSE)*'eGRID subregion name'!$P$3+VLOOKUP("Natural Gas", 'GHG Emissions'!$D$2:$M$66,8,FALSE)*'eGRID subregion name'!$P$4</f>
        <v>53.114800000000002</v>
      </c>
      <c r="I210" s="455">
        <f t="shared" si="28"/>
        <v>0</v>
      </c>
      <c r="J210" s="455">
        <f>'Sch4-Cost Savings by ECM'!U210</f>
        <v>0</v>
      </c>
      <c r="K21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0" s="455">
        <f t="shared" si="29"/>
        <v>0</v>
      </c>
      <c r="M210" s="455">
        <f>'Sch4-Cost Savings by ECM'!W210</f>
        <v>0</v>
      </c>
      <c r="N21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0" s="455">
        <f t="shared" si="30"/>
        <v>0</v>
      </c>
      <c r="P210" s="457">
        <f t="shared" si="27"/>
        <v>0</v>
      </c>
      <c r="Q210" s="455">
        <f>'Sch4-Cost Savings by ECM'!AA210</f>
        <v>0</v>
      </c>
      <c r="R210" s="455">
        <f t="shared" si="33"/>
        <v>0</v>
      </c>
      <c r="S210" s="455">
        <f t="shared" si="34"/>
        <v>0</v>
      </c>
      <c r="T210" s="455">
        <f t="shared" si="31"/>
        <v>0</v>
      </c>
    </row>
    <row r="211" spans="1:20" ht="17" thickBot="1">
      <c r="A211" s="75" t="str">
        <f>IF('Sch2a-Imp Price by ECM'!B212="","",'Sch2a-Imp Price by ECM'!B212)</f>
        <v/>
      </c>
      <c r="B211" s="174" t="str">
        <f>IF('Sch2a-Imp Price by ECM'!D212="","",'Sch2a-Imp Price by ECM'!D212)</f>
        <v/>
      </c>
      <c r="C211" s="458" t="s">
        <v>431</v>
      </c>
      <c r="D211" s="454">
        <f>'Sch4-Cost Savings by ECM'!O211</f>
        <v>0</v>
      </c>
      <c r="E211" s="454">
        <f>VLOOKUP(C211,'eGRID subregion name'!$A$2:$N$30,8,0)</f>
        <v>189.83531623683197</v>
      </c>
      <c r="F211" s="454">
        <f t="shared" si="32"/>
        <v>0</v>
      </c>
      <c r="G211" s="455">
        <f>'Sch4-Cost Savings by ECM'!S211</f>
        <v>0</v>
      </c>
      <c r="H211" s="455">
        <f>VLOOKUP("Natural Gas", 'GHG Emissions'!$D$2:$M$66,4,FALSE)+VLOOKUP("Natural Gas", 'GHG Emissions'!$D$2:$M$66,6,FALSE)*'eGRID subregion name'!$P$3+VLOOKUP("Natural Gas", 'GHG Emissions'!$D$2:$M$66,8,FALSE)*'eGRID subregion name'!$P$4</f>
        <v>53.114800000000002</v>
      </c>
      <c r="I211" s="455">
        <f t="shared" si="28"/>
        <v>0</v>
      </c>
      <c r="J211" s="455">
        <f>'Sch4-Cost Savings by ECM'!U211</f>
        <v>0</v>
      </c>
      <c r="K21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1" s="455">
        <f t="shared" si="29"/>
        <v>0</v>
      </c>
      <c r="M211" s="455">
        <f>'Sch4-Cost Savings by ECM'!W211</f>
        <v>0</v>
      </c>
      <c r="N21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1" s="455">
        <f t="shared" si="30"/>
        <v>0</v>
      </c>
      <c r="P211" s="457">
        <f t="shared" si="27"/>
        <v>0</v>
      </c>
      <c r="Q211" s="455">
        <f>'Sch4-Cost Savings by ECM'!AA211</f>
        <v>0</v>
      </c>
      <c r="R211" s="455">
        <f t="shared" si="33"/>
        <v>0</v>
      </c>
      <c r="S211" s="455">
        <f t="shared" si="34"/>
        <v>0</v>
      </c>
      <c r="T211" s="455">
        <f t="shared" si="31"/>
        <v>0</v>
      </c>
    </row>
    <row r="212" spans="1:20" ht="17" thickBot="1">
      <c r="A212" s="75" t="str">
        <f>IF('Sch2a-Imp Price by ECM'!B213="","",'Sch2a-Imp Price by ECM'!B213)</f>
        <v/>
      </c>
      <c r="B212" s="174" t="str">
        <f>IF('Sch2a-Imp Price by ECM'!D213="","",'Sch2a-Imp Price by ECM'!D213)</f>
        <v/>
      </c>
      <c r="C212" s="458" t="s">
        <v>431</v>
      </c>
      <c r="D212" s="454">
        <f>'Sch4-Cost Savings by ECM'!O212</f>
        <v>0</v>
      </c>
      <c r="E212" s="454">
        <f>VLOOKUP(C212,'eGRID subregion name'!$A$2:$N$30,8,0)</f>
        <v>189.83531623683197</v>
      </c>
      <c r="F212" s="454">
        <f t="shared" si="32"/>
        <v>0</v>
      </c>
      <c r="G212" s="455">
        <f>'Sch4-Cost Savings by ECM'!S212</f>
        <v>0</v>
      </c>
      <c r="H212" s="455">
        <f>VLOOKUP("Natural Gas", 'GHG Emissions'!$D$2:$M$66,4,FALSE)+VLOOKUP("Natural Gas", 'GHG Emissions'!$D$2:$M$66,6,FALSE)*'eGRID subregion name'!$P$3+VLOOKUP("Natural Gas", 'GHG Emissions'!$D$2:$M$66,8,FALSE)*'eGRID subregion name'!$P$4</f>
        <v>53.114800000000002</v>
      </c>
      <c r="I212" s="455">
        <f t="shared" si="28"/>
        <v>0</v>
      </c>
      <c r="J212" s="455">
        <f>'Sch4-Cost Savings by ECM'!U212</f>
        <v>0</v>
      </c>
      <c r="K21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2" s="455">
        <f t="shared" si="29"/>
        <v>0</v>
      </c>
      <c r="M212" s="455">
        <f>'Sch4-Cost Savings by ECM'!W212</f>
        <v>0</v>
      </c>
      <c r="N21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2" s="455">
        <f t="shared" si="30"/>
        <v>0</v>
      </c>
      <c r="P212" s="457">
        <f t="shared" si="27"/>
        <v>0</v>
      </c>
      <c r="Q212" s="455">
        <f>'Sch4-Cost Savings by ECM'!AA212</f>
        <v>0</v>
      </c>
      <c r="R212" s="455">
        <f t="shared" si="33"/>
        <v>0</v>
      </c>
      <c r="S212" s="455">
        <f t="shared" si="34"/>
        <v>0</v>
      </c>
      <c r="T212" s="455">
        <f t="shared" si="31"/>
        <v>0</v>
      </c>
    </row>
    <row r="213" spans="1:20" ht="17" thickBot="1">
      <c r="A213" s="75" t="str">
        <f>IF('Sch2a-Imp Price by ECM'!B214="","",'Sch2a-Imp Price by ECM'!B214)</f>
        <v/>
      </c>
      <c r="B213" s="174" t="str">
        <f>IF('Sch2a-Imp Price by ECM'!D214="","",'Sch2a-Imp Price by ECM'!D214)</f>
        <v/>
      </c>
      <c r="C213" s="458" t="s">
        <v>431</v>
      </c>
      <c r="D213" s="454">
        <f>'Sch4-Cost Savings by ECM'!O213</f>
        <v>0</v>
      </c>
      <c r="E213" s="454">
        <f>VLOOKUP(C213,'eGRID subregion name'!$A$2:$N$30,8,0)</f>
        <v>189.83531623683197</v>
      </c>
      <c r="F213" s="454">
        <f t="shared" si="32"/>
        <v>0</v>
      </c>
      <c r="G213" s="455">
        <f>'Sch4-Cost Savings by ECM'!S213</f>
        <v>0</v>
      </c>
      <c r="H213" s="455">
        <f>VLOOKUP("Natural Gas", 'GHG Emissions'!$D$2:$M$66,4,FALSE)+VLOOKUP("Natural Gas", 'GHG Emissions'!$D$2:$M$66,6,FALSE)*'eGRID subregion name'!$P$3+VLOOKUP("Natural Gas", 'GHG Emissions'!$D$2:$M$66,8,FALSE)*'eGRID subregion name'!$P$4</f>
        <v>53.114800000000002</v>
      </c>
      <c r="I213" s="455">
        <f t="shared" si="28"/>
        <v>0</v>
      </c>
      <c r="J213" s="455">
        <f>'Sch4-Cost Savings by ECM'!U213</f>
        <v>0</v>
      </c>
      <c r="K21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3" s="455">
        <f t="shared" si="29"/>
        <v>0</v>
      </c>
      <c r="M213" s="455">
        <f>'Sch4-Cost Savings by ECM'!W213</f>
        <v>0</v>
      </c>
      <c r="N21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3" s="455">
        <f t="shared" si="30"/>
        <v>0</v>
      </c>
      <c r="P213" s="457">
        <f t="shared" si="27"/>
        <v>0</v>
      </c>
      <c r="Q213" s="455">
        <f>'Sch4-Cost Savings by ECM'!AA213</f>
        <v>0</v>
      </c>
      <c r="R213" s="455">
        <f t="shared" si="33"/>
        <v>0</v>
      </c>
      <c r="S213" s="455">
        <f t="shared" si="34"/>
        <v>0</v>
      </c>
      <c r="T213" s="455">
        <f t="shared" si="31"/>
        <v>0</v>
      </c>
    </row>
    <row r="214" spans="1:20" ht="17" thickBot="1">
      <c r="A214" s="75" t="str">
        <f>IF('Sch2a-Imp Price by ECM'!B215="","",'Sch2a-Imp Price by ECM'!B215)</f>
        <v/>
      </c>
      <c r="B214" s="174" t="str">
        <f>IF('Sch2a-Imp Price by ECM'!D215="","",'Sch2a-Imp Price by ECM'!D215)</f>
        <v/>
      </c>
      <c r="C214" s="458" t="s">
        <v>431</v>
      </c>
      <c r="D214" s="454">
        <f>'Sch4-Cost Savings by ECM'!O214</f>
        <v>0</v>
      </c>
      <c r="E214" s="454">
        <f>VLOOKUP(C214,'eGRID subregion name'!$A$2:$N$30,8,0)</f>
        <v>189.83531623683197</v>
      </c>
      <c r="F214" s="454">
        <f t="shared" si="32"/>
        <v>0</v>
      </c>
      <c r="G214" s="455">
        <f>'Sch4-Cost Savings by ECM'!S214</f>
        <v>0</v>
      </c>
      <c r="H214" s="455">
        <f>VLOOKUP("Natural Gas", 'GHG Emissions'!$D$2:$M$66,4,FALSE)+VLOOKUP("Natural Gas", 'GHG Emissions'!$D$2:$M$66,6,FALSE)*'eGRID subregion name'!$P$3+VLOOKUP("Natural Gas", 'GHG Emissions'!$D$2:$M$66,8,FALSE)*'eGRID subregion name'!$P$4</f>
        <v>53.114800000000002</v>
      </c>
      <c r="I214" s="455">
        <f t="shared" si="28"/>
        <v>0</v>
      </c>
      <c r="J214" s="455">
        <f>'Sch4-Cost Savings by ECM'!U214</f>
        <v>0</v>
      </c>
      <c r="K21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4" s="455">
        <f t="shared" si="29"/>
        <v>0</v>
      </c>
      <c r="M214" s="455">
        <f>'Sch4-Cost Savings by ECM'!W214</f>
        <v>0</v>
      </c>
      <c r="N21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4" s="455">
        <f t="shared" si="30"/>
        <v>0</v>
      </c>
      <c r="P214" s="457">
        <f t="shared" si="27"/>
        <v>0</v>
      </c>
      <c r="Q214" s="455">
        <f>'Sch4-Cost Savings by ECM'!AA214</f>
        <v>0</v>
      </c>
      <c r="R214" s="455">
        <f t="shared" si="33"/>
        <v>0</v>
      </c>
      <c r="S214" s="455">
        <f t="shared" si="34"/>
        <v>0</v>
      </c>
      <c r="T214" s="455">
        <f t="shared" si="31"/>
        <v>0</v>
      </c>
    </row>
    <row r="215" spans="1:20" ht="17" thickBot="1">
      <c r="A215" s="75" t="str">
        <f>IF('Sch2a-Imp Price by ECM'!B216="","",'Sch2a-Imp Price by ECM'!B216)</f>
        <v/>
      </c>
      <c r="B215" s="174" t="str">
        <f>IF('Sch2a-Imp Price by ECM'!D216="","",'Sch2a-Imp Price by ECM'!D216)</f>
        <v/>
      </c>
      <c r="C215" s="458" t="s">
        <v>431</v>
      </c>
      <c r="D215" s="454">
        <f>'Sch4-Cost Savings by ECM'!O215</f>
        <v>0</v>
      </c>
      <c r="E215" s="454">
        <f>VLOOKUP(C215,'eGRID subregion name'!$A$2:$N$30,8,0)</f>
        <v>189.83531623683197</v>
      </c>
      <c r="F215" s="454">
        <f t="shared" si="32"/>
        <v>0</v>
      </c>
      <c r="G215" s="455">
        <f>'Sch4-Cost Savings by ECM'!S215</f>
        <v>0</v>
      </c>
      <c r="H215" s="455">
        <f>VLOOKUP("Natural Gas", 'GHG Emissions'!$D$2:$M$66,4,FALSE)+VLOOKUP("Natural Gas", 'GHG Emissions'!$D$2:$M$66,6,FALSE)*'eGRID subregion name'!$P$3+VLOOKUP("Natural Gas", 'GHG Emissions'!$D$2:$M$66,8,FALSE)*'eGRID subregion name'!$P$4</f>
        <v>53.114800000000002</v>
      </c>
      <c r="I215" s="455">
        <f t="shared" si="28"/>
        <v>0</v>
      </c>
      <c r="J215" s="455">
        <f>'Sch4-Cost Savings by ECM'!U215</f>
        <v>0</v>
      </c>
      <c r="K21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5" s="455">
        <f t="shared" si="29"/>
        <v>0</v>
      </c>
      <c r="M215" s="455">
        <f>'Sch4-Cost Savings by ECM'!W215</f>
        <v>0</v>
      </c>
      <c r="N21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5" s="455">
        <f t="shared" si="30"/>
        <v>0</v>
      </c>
      <c r="P215" s="457">
        <f t="shared" si="27"/>
        <v>0</v>
      </c>
      <c r="Q215" s="455">
        <f>'Sch4-Cost Savings by ECM'!AA215</f>
        <v>0</v>
      </c>
      <c r="R215" s="455">
        <f t="shared" si="33"/>
        <v>0</v>
      </c>
      <c r="S215" s="455">
        <f t="shared" si="34"/>
        <v>0</v>
      </c>
      <c r="T215" s="455">
        <f t="shared" si="31"/>
        <v>0</v>
      </c>
    </row>
    <row r="216" spans="1:20" ht="17" thickBot="1">
      <c r="A216" s="75" t="str">
        <f>IF('Sch2a-Imp Price by ECM'!B217="","",'Sch2a-Imp Price by ECM'!B217)</f>
        <v/>
      </c>
      <c r="B216" s="174" t="str">
        <f>IF('Sch2a-Imp Price by ECM'!D217="","",'Sch2a-Imp Price by ECM'!D217)</f>
        <v/>
      </c>
      <c r="C216" s="458" t="s">
        <v>431</v>
      </c>
      <c r="D216" s="454">
        <f>'Sch4-Cost Savings by ECM'!O216</f>
        <v>0</v>
      </c>
      <c r="E216" s="454">
        <f>VLOOKUP(C216,'eGRID subregion name'!$A$2:$N$30,8,0)</f>
        <v>189.83531623683197</v>
      </c>
      <c r="F216" s="454">
        <f t="shared" si="32"/>
        <v>0</v>
      </c>
      <c r="G216" s="455">
        <f>'Sch4-Cost Savings by ECM'!S216</f>
        <v>0</v>
      </c>
      <c r="H216" s="455">
        <f>VLOOKUP("Natural Gas", 'GHG Emissions'!$D$2:$M$66,4,FALSE)+VLOOKUP("Natural Gas", 'GHG Emissions'!$D$2:$M$66,6,FALSE)*'eGRID subregion name'!$P$3+VLOOKUP("Natural Gas", 'GHG Emissions'!$D$2:$M$66,8,FALSE)*'eGRID subregion name'!$P$4</f>
        <v>53.114800000000002</v>
      </c>
      <c r="I216" s="455">
        <f t="shared" si="28"/>
        <v>0</v>
      </c>
      <c r="J216" s="455">
        <f>'Sch4-Cost Savings by ECM'!U216</f>
        <v>0</v>
      </c>
      <c r="K21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6" s="455">
        <f t="shared" si="29"/>
        <v>0</v>
      </c>
      <c r="M216" s="455">
        <f>'Sch4-Cost Savings by ECM'!W216</f>
        <v>0</v>
      </c>
      <c r="N21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6" s="455">
        <f t="shared" si="30"/>
        <v>0</v>
      </c>
      <c r="P216" s="457">
        <f t="shared" si="27"/>
        <v>0</v>
      </c>
      <c r="Q216" s="455">
        <f>'Sch4-Cost Savings by ECM'!AA216</f>
        <v>0</v>
      </c>
      <c r="R216" s="455">
        <f t="shared" si="33"/>
        <v>0</v>
      </c>
      <c r="S216" s="455">
        <f t="shared" si="34"/>
        <v>0</v>
      </c>
      <c r="T216" s="455">
        <f t="shared" si="31"/>
        <v>0</v>
      </c>
    </row>
    <row r="217" spans="1:20" ht="17" thickBot="1">
      <c r="A217" s="75" t="str">
        <f>IF('Sch2a-Imp Price by ECM'!B218="","",'Sch2a-Imp Price by ECM'!B218)</f>
        <v/>
      </c>
      <c r="B217" s="174" t="str">
        <f>IF('Sch2a-Imp Price by ECM'!D218="","",'Sch2a-Imp Price by ECM'!D218)</f>
        <v/>
      </c>
      <c r="C217" s="458" t="s">
        <v>431</v>
      </c>
      <c r="D217" s="454">
        <f>'Sch4-Cost Savings by ECM'!O217</f>
        <v>0</v>
      </c>
      <c r="E217" s="454">
        <f>VLOOKUP(C217,'eGRID subregion name'!$A$2:$N$30,8,0)</f>
        <v>189.83531623683197</v>
      </c>
      <c r="F217" s="454">
        <f t="shared" si="32"/>
        <v>0</v>
      </c>
      <c r="G217" s="455">
        <f>'Sch4-Cost Savings by ECM'!S217</f>
        <v>0</v>
      </c>
      <c r="H217" s="455">
        <f>VLOOKUP("Natural Gas", 'GHG Emissions'!$D$2:$M$66,4,FALSE)+VLOOKUP("Natural Gas", 'GHG Emissions'!$D$2:$M$66,6,FALSE)*'eGRID subregion name'!$P$3+VLOOKUP("Natural Gas", 'GHG Emissions'!$D$2:$M$66,8,FALSE)*'eGRID subregion name'!$P$4</f>
        <v>53.114800000000002</v>
      </c>
      <c r="I217" s="455">
        <f t="shared" si="28"/>
        <v>0</v>
      </c>
      <c r="J217" s="455">
        <f>'Sch4-Cost Savings by ECM'!U217</f>
        <v>0</v>
      </c>
      <c r="K21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7" s="455">
        <f t="shared" si="29"/>
        <v>0</v>
      </c>
      <c r="M217" s="455">
        <f>'Sch4-Cost Savings by ECM'!W217</f>
        <v>0</v>
      </c>
      <c r="N21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7" s="455">
        <f t="shared" si="30"/>
        <v>0</v>
      </c>
      <c r="P217" s="457">
        <f t="shared" si="27"/>
        <v>0</v>
      </c>
      <c r="Q217" s="455">
        <f>'Sch4-Cost Savings by ECM'!AA217</f>
        <v>0</v>
      </c>
      <c r="R217" s="455">
        <f t="shared" si="33"/>
        <v>0</v>
      </c>
      <c r="S217" s="455">
        <f t="shared" si="34"/>
        <v>0</v>
      </c>
      <c r="T217" s="455">
        <f t="shared" si="31"/>
        <v>0</v>
      </c>
    </row>
    <row r="218" spans="1:20" ht="17" thickBot="1">
      <c r="A218" s="75" t="str">
        <f>IF('Sch2a-Imp Price by ECM'!B219="","",'Sch2a-Imp Price by ECM'!B219)</f>
        <v/>
      </c>
      <c r="B218" s="174" t="str">
        <f>IF('Sch2a-Imp Price by ECM'!D219="","",'Sch2a-Imp Price by ECM'!D219)</f>
        <v/>
      </c>
      <c r="C218" s="458" t="s">
        <v>431</v>
      </c>
      <c r="D218" s="454">
        <f>'Sch4-Cost Savings by ECM'!O218</f>
        <v>0</v>
      </c>
      <c r="E218" s="454">
        <f>VLOOKUP(C218,'eGRID subregion name'!$A$2:$N$30,8,0)</f>
        <v>189.83531623683197</v>
      </c>
      <c r="F218" s="454">
        <f t="shared" si="32"/>
        <v>0</v>
      </c>
      <c r="G218" s="455">
        <f>'Sch4-Cost Savings by ECM'!S218</f>
        <v>0</v>
      </c>
      <c r="H218" s="455">
        <f>VLOOKUP("Natural Gas", 'GHG Emissions'!$D$2:$M$66,4,FALSE)+VLOOKUP("Natural Gas", 'GHG Emissions'!$D$2:$M$66,6,FALSE)*'eGRID subregion name'!$P$3+VLOOKUP("Natural Gas", 'GHG Emissions'!$D$2:$M$66,8,FALSE)*'eGRID subregion name'!$P$4</f>
        <v>53.114800000000002</v>
      </c>
      <c r="I218" s="455">
        <f t="shared" si="28"/>
        <v>0</v>
      </c>
      <c r="J218" s="455">
        <f>'Sch4-Cost Savings by ECM'!U218</f>
        <v>0</v>
      </c>
      <c r="K21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8" s="455">
        <f t="shared" si="29"/>
        <v>0</v>
      </c>
      <c r="M218" s="455">
        <f>'Sch4-Cost Savings by ECM'!W218</f>
        <v>0</v>
      </c>
      <c r="N21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8" s="455">
        <f t="shared" si="30"/>
        <v>0</v>
      </c>
      <c r="P218" s="457">
        <f t="shared" si="27"/>
        <v>0</v>
      </c>
      <c r="Q218" s="455">
        <f>'Sch4-Cost Savings by ECM'!AA218</f>
        <v>0</v>
      </c>
      <c r="R218" s="455">
        <f t="shared" si="33"/>
        <v>0</v>
      </c>
      <c r="S218" s="455">
        <f t="shared" si="34"/>
        <v>0</v>
      </c>
      <c r="T218" s="455">
        <f t="shared" si="31"/>
        <v>0</v>
      </c>
    </row>
    <row r="219" spans="1:20" ht="17" thickBot="1">
      <c r="A219" s="75" t="str">
        <f>IF('Sch2a-Imp Price by ECM'!B220="","",'Sch2a-Imp Price by ECM'!B220)</f>
        <v/>
      </c>
      <c r="B219" s="174" t="str">
        <f>IF('Sch2a-Imp Price by ECM'!D220="","",'Sch2a-Imp Price by ECM'!D220)</f>
        <v/>
      </c>
      <c r="C219" s="458" t="s">
        <v>431</v>
      </c>
      <c r="D219" s="454">
        <f>'Sch4-Cost Savings by ECM'!O219</f>
        <v>0</v>
      </c>
      <c r="E219" s="454">
        <f>VLOOKUP(C219,'eGRID subregion name'!$A$2:$N$30,8,0)</f>
        <v>189.83531623683197</v>
      </c>
      <c r="F219" s="454">
        <f t="shared" si="32"/>
        <v>0</v>
      </c>
      <c r="G219" s="455">
        <f>'Sch4-Cost Savings by ECM'!S219</f>
        <v>0</v>
      </c>
      <c r="H219" s="455">
        <f>VLOOKUP("Natural Gas", 'GHG Emissions'!$D$2:$M$66,4,FALSE)+VLOOKUP("Natural Gas", 'GHG Emissions'!$D$2:$M$66,6,FALSE)*'eGRID subregion name'!$P$3+VLOOKUP("Natural Gas", 'GHG Emissions'!$D$2:$M$66,8,FALSE)*'eGRID subregion name'!$P$4</f>
        <v>53.114800000000002</v>
      </c>
      <c r="I219" s="455">
        <f t="shared" si="28"/>
        <v>0</v>
      </c>
      <c r="J219" s="455">
        <f>'Sch4-Cost Savings by ECM'!U219</f>
        <v>0</v>
      </c>
      <c r="K21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19" s="455">
        <f t="shared" si="29"/>
        <v>0</v>
      </c>
      <c r="M219" s="455">
        <f>'Sch4-Cost Savings by ECM'!W219</f>
        <v>0</v>
      </c>
      <c r="N21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19" s="455">
        <f t="shared" si="30"/>
        <v>0</v>
      </c>
      <c r="P219" s="457">
        <f t="shared" si="27"/>
        <v>0</v>
      </c>
      <c r="Q219" s="455">
        <f>'Sch4-Cost Savings by ECM'!AA219</f>
        <v>0</v>
      </c>
      <c r="R219" s="455">
        <f t="shared" si="33"/>
        <v>0</v>
      </c>
      <c r="S219" s="455">
        <f t="shared" si="34"/>
        <v>0</v>
      </c>
      <c r="T219" s="455">
        <f t="shared" si="31"/>
        <v>0</v>
      </c>
    </row>
    <row r="220" spans="1:20" ht="17" thickBot="1">
      <c r="A220" s="75" t="str">
        <f>IF('Sch2a-Imp Price by ECM'!B221="","",'Sch2a-Imp Price by ECM'!B221)</f>
        <v/>
      </c>
      <c r="B220" s="174" t="str">
        <f>IF('Sch2a-Imp Price by ECM'!D221="","",'Sch2a-Imp Price by ECM'!D221)</f>
        <v/>
      </c>
      <c r="C220" s="458" t="s">
        <v>431</v>
      </c>
      <c r="D220" s="454">
        <f>'Sch4-Cost Savings by ECM'!O220</f>
        <v>0</v>
      </c>
      <c r="E220" s="454">
        <f>VLOOKUP(C220,'eGRID subregion name'!$A$2:$N$30,8,0)</f>
        <v>189.83531623683197</v>
      </c>
      <c r="F220" s="454">
        <f t="shared" si="32"/>
        <v>0</v>
      </c>
      <c r="G220" s="455">
        <f>'Sch4-Cost Savings by ECM'!S220</f>
        <v>0</v>
      </c>
      <c r="H220" s="455">
        <f>VLOOKUP("Natural Gas", 'GHG Emissions'!$D$2:$M$66,4,FALSE)+VLOOKUP("Natural Gas", 'GHG Emissions'!$D$2:$M$66,6,FALSE)*'eGRID subregion name'!$P$3+VLOOKUP("Natural Gas", 'GHG Emissions'!$D$2:$M$66,8,FALSE)*'eGRID subregion name'!$P$4</f>
        <v>53.114800000000002</v>
      </c>
      <c r="I220" s="455">
        <f t="shared" si="28"/>
        <v>0</v>
      </c>
      <c r="J220" s="455">
        <f>'Sch4-Cost Savings by ECM'!U220</f>
        <v>0</v>
      </c>
      <c r="K22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0" s="455">
        <f t="shared" si="29"/>
        <v>0</v>
      </c>
      <c r="M220" s="455">
        <f>'Sch4-Cost Savings by ECM'!W220</f>
        <v>0</v>
      </c>
      <c r="N22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0" s="455">
        <f t="shared" si="30"/>
        <v>0</v>
      </c>
      <c r="P220" s="457">
        <f t="shared" si="27"/>
        <v>0</v>
      </c>
      <c r="Q220" s="455">
        <f>'Sch4-Cost Savings by ECM'!AA220</f>
        <v>0</v>
      </c>
      <c r="R220" s="455">
        <f t="shared" si="33"/>
        <v>0</v>
      </c>
      <c r="S220" s="455">
        <f t="shared" si="34"/>
        <v>0</v>
      </c>
      <c r="T220" s="455">
        <f t="shared" si="31"/>
        <v>0</v>
      </c>
    </row>
    <row r="221" spans="1:20" ht="17" thickBot="1">
      <c r="A221" s="75" t="str">
        <f>IF('Sch2a-Imp Price by ECM'!B222="","",'Sch2a-Imp Price by ECM'!B222)</f>
        <v/>
      </c>
      <c r="B221" s="174" t="str">
        <f>IF('Sch2a-Imp Price by ECM'!D222="","",'Sch2a-Imp Price by ECM'!D222)</f>
        <v/>
      </c>
      <c r="C221" s="458" t="s">
        <v>431</v>
      </c>
      <c r="D221" s="454">
        <f>'Sch4-Cost Savings by ECM'!O221</f>
        <v>0</v>
      </c>
      <c r="E221" s="454">
        <f>VLOOKUP(C221,'eGRID subregion name'!$A$2:$N$30,8,0)</f>
        <v>189.83531623683197</v>
      </c>
      <c r="F221" s="454">
        <f t="shared" si="32"/>
        <v>0</v>
      </c>
      <c r="G221" s="455">
        <f>'Sch4-Cost Savings by ECM'!S221</f>
        <v>0</v>
      </c>
      <c r="H221" s="455">
        <f>VLOOKUP("Natural Gas", 'GHG Emissions'!$D$2:$M$66,4,FALSE)+VLOOKUP("Natural Gas", 'GHG Emissions'!$D$2:$M$66,6,FALSE)*'eGRID subregion name'!$P$3+VLOOKUP("Natural Gas", 'GHG Emissions'!$D$2:$M$66,8,FALSE)*'eGRID subregion name'!$P$4</f>
        <v>53.114800000000002</v>
      </c>
      <c r="I221" s="455">
        <f t="shared" si="28"/>
        <v>0</v>
      </c>
      <c r="J221" s="455">
        <f>'Sch4-Cost Savings by ECM'!U221</f>
        <v>0</v>
      </c>
      <c r="K22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1" s="455">
        <f t="shared" si="29"/>
        <v>0</v>
      </c>
      <c r="M221" s="455">
        <f>'Sch4-Cost Savings by ECM'!W221</f>
        <v>0</v>
      </c>
      <c r="N22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1" s="455">
        <f t="shared" si="30"/>
        <v>0</v>
      </c>
      <c r="P221" s="457">
        <f t="shared" si="27"/>
        <v>0</v>
      </c>
      <c r="Q221" s="455">
        <f>'Sch4-Cost Savings by ECM'!AA221</f>
        <v>0</v>
      </c>
      <c r="R221" s="455">
        <f t="shared" si="33"/>
        <v>0</v>
      </c>
      <c r="S221" s="455">
        <f t="shared" si="34"/>
        <v>0</v>
      </c>
      <c r="T221" s="455">
        <f t="shared" si="31"/>
        <v>0</v>
      </c>
    </row>
    <row r="222" spans="1:20" ht="17" thickBot="1">
      <c r="A222" s="75" t="str">
        <f>IF('Sch2a-Imp Price by ECM'!B223="","",'Sch2a-Imp Price by ECM'!B223)</f>
        <v/>
      </c>
      <c r="B222" s="174" t="str">
        <f>IF('Sch2a-Imp Price by ECM'!D223="","",'Sch2a-Imp Price by ECM'!D223)</f>
        <v/>
      </c>
      <c r="C222" s="458" t="s">
        <v>431</v>
      </c>
      <c r="D222" s="454">
        <f>'Sch4-Cost Savings by ECM'!O222</f>
        <v>0</v>
      </c>
      <c r="E222" s="454">
        <f>VLOOKUP(C222,'eGRID subregion name'!$A$2:$N$30,8,0)</f>
        <v>189.83531623683197</v>
      </c>
      <c r="F222" s="454">
        <f t="shared" si="32"/>
        <v>0</v>
      </c>
      <c r="G222" s="455">
        <f>'Sch4-Cost Savings by ECM'!S222</f>
        <v>0</v>
      </c>
      <c r="H222" s="455">
        <f>VLOOKUP("Natural Gas", 'GHG Emissions'!$D$2:$M$66,4,FALSE)+VLOOKUP("Natural Gas", 'GHG Emissions'!$D$2:$M$66,6,FALSE)*'eGRID subregion name'!$P$3+VLOOKUP("Natural Gas", 'GHG Emissions'!$D$2:$M$66,8,FALSE)*'eGRID subregion name'!$P$4</f>
        <v>53.114800000000002</v>
      </c>
      <c r="I222" s="455">
        <f t="shared" si="28"/>
        <v>0</v>
      </c>
      <c r="J222" s="455">
        <f>'Sch4-Cost Savings by ECM'!U222</f>
        <v>0</v>
      </c>
      <c r="K22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2" s="455">
        <f t="shared" si="29"/>
        <v>0</v>
      </c>
      <c r="M222" s="455">
        <f>'Sch4-Cost Savings by ECM'!W222</f>
        <v>0</v>
      </c>
      <c r="N22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2" s="455">
        <f t="shared" si="30"/>
        <v>0</v>
      </c>
      <c r="P222" s="457">
        <f t="shared" si="27"/>
        <v>0</v>
      </c>
      <c r="Q222" s="455">
        <f>'Sch4-Cost Savings by ECM'!AA222</f>
        <v>0</v>
      </c>
      <c r="R222" s="455">
        <f t="shared" si="33"/>
        <v>0</v>
      </c>
      <c r="S222" s="455">
        <f t="shared" si="34"/>
        <v>0</v>
      </c>
      <c r="T222" s="455">
        <f t="shared" si="31"/>
        <v>0</v>
      </c>
    </row>
    <row r="223" spans="1:20" ht="18" customHeight="1" thickBot="1">
      <c r="A223" s="75" t="str">
        <f>IF('Sch2a-Imp Price by ECM'!B224="","",'Sch2a-Imp Price by ECM'!B224)</f>
        <v/>
      </c>
      <c r="B223" s="174" t="str">
        <f>IF('Sch2a-Imp Price by ECM'!D224="","",'Sch2a-Imp Price by ECM'!D224)</f>
        <v/>
      </c>
      <c r="C223" s="458" t="s">
        <v>431</v>
      </c>
      <c r="D223" s="454">
        <f>'Sch4-Cost Savings by ECM'!O223</f>
        <v>0</v>
      </c>
      <c r="E223" s="454">
        <f>VLOOKUP(C223,'eGRID subregion name'!$A$2:$N$30,8,0)</f>
        <v>189.83531623683197</v>
      </c>
      <c r="F223" s="454">
        <f t="shared" si="32"/>
        <v>0</v>
      </c>
      <c r="G223" s="455">
        <f>'Sch4-Cost Savings by ECM'!S223</f>
        <v>0</v>
      </c>
      <c r="H223" s="455">
        <f>VLOOKUP("Natural Gas", 'GHG Emissions'!$D$2:$M$66,4,FALSE)+VLOOKUP("Natural Gas", 'GHG Emissions'!$D$2:$M$66,6,FALSE)*'eGRID subregion name'!$P$3+VLOOKUP("Natural Gas", 'GHG Emissions'!$D$2:$M$66,8,FALSE)*'eGRID subregion name'!$P$4</f>
        <v>53.114800000000002</v>
      </c>
      <c r="I223" s="455">
        <f t="shared" si="28"/>
        <v>0</v>
      </c>
      <c r="J223" s="455">
        <f>'Sch4-Cost Savings by ECM'!U223</f>
        <v>0</v>
      </c>
      <c r="K22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3" s="455">
        <f t="shared" si="29"/>
        <v>0</v>
      </c>
      <c r="M223" s="455">
        <f>'Sch4-Cost Savings by ECM'!W223</f>
        <v>0</v>
      </c>
      <c r="N22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3" s="455">
        <f t="shared" si="30"/>
        <v>0</v>
      </c>
      <c r="P223" s="457">
        <f t="shared" si="27"/>
        <v>0</v>
      </c>
      <c r="Q223" s="455">
        <f>'Sch4-Cost Savings by ECM'!AA223</f>
        <v>0</v>
      </c>
      <c r="R223" s="455">
        <f t="shared" si="33"/>
        <v>0</v>
      </c>
      <c r="S223" s="455">
        <f t="shared" si="34"/>
        <v>0</v>
      </c>
      <c r="T223" s="455">
        <f t="shared" si="31"/>
        <v>0</v>
      </c>
    </row>
    <row r="224" spans="1:20" ht="17" thickBot="1">
      <c r="A224" s="75" t="str">
        <f>IF('Sch2a-Imp Price by ECM'!B225="","",'Sch2a-Imp Price by ECM'!B225)</f>
        <v/>
      </c>
      <c r="B224" s="174" t="str">
        <f>IF('Sch2a-Imp Price by ECM'!D225="","",'Sch2a-Imp Price by ECM'!D225)</f>
        <v/>
      </c>
      <c r="C224" s="458" t="s">
        <v>431</v>
      </c>
      <c r="D224" s="454">
        <f>'Sch4-Cost Savings by ECM'!O224</f>
        <v>0</v>
      </c>
      <c r="E224" s="454">
        <f>VLOOKUP(C224,'eGRID subregion name'!$A$2:$N$30,8,0)</f>
        <v>189.83531623683197</v>
      </c>
      <c r="F224" s="454">
        <f t="shared" si="32"/>
        <v>0</v>
      </c>
      <c r="G224" s="455">
        <f>'Sch4-Cost Savings by ECM'!S224</f>
        <v>0</v>
      </c>
      <c r="H224" s="455">
        <f>VLOOKUP("Natural Gas", 'GHG Emissions'!$D$2:$M$66,4,FALSE)+VLOOKUP("Natural Gas", 'GHG Emissions'!$D$2:$M$66,6,FALSE)*'eGRID subregion name'!$P$3+VLOOKUP("Natural Gas", 'GHG Emissions'!$D$2:$M$66,8,FALSE)*'eGRID subregion name'!$P$4</f>
        <v>53.114800000000002</v>
      </c>
      <c r="I224" s="455">
        <f t="shared" si="28"/>
        <v>0</v>
      </c>
      <c r="J224" s="455">
        <f>'Sch4-Cost Savings by ECM'!U224</f>
        <v>0</v>
      </c>
      <c r="K22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4" s="455">
        <f t="shared" si="29"/>
        <v>0</v>
      </c>
      <c r="M224" s="455">
        <f>'Sch4-Cost Savings by ECM'!W224</f>
        <v>0</v>
      </c>
      <c r="N22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4" s="455">
        <f t="shared" si="30"/>
        <v>0</v>
      </c>
      <c r="P224" s="457">
        <f t="shared" si="27"/>
        <v>0</v>
      </c>
      <c r="Q224" s="455">
        <f>'Sch4-Cost Savings by ECM'!AA224</f>
        <v>0</v>
      </c>
      <c r="R224" s="455">
        <f t="shared" si="33"/>
        <v>0</v>
      </c>
      <c r="S224" s="455">
        <f t="shared" si="34"/>
        <v>0</v>
      </c>
      <c r="T224" s="455">
        <f t="shared" si="31"/>
        <v>0</v>
      </c>
    </row>
    <row r="225" spans="1:20" ht="17" thickBot="1">
      <c r="A225" s="75" t="str">
        <f>IF('Sch2a-Imp Price by ECM'!B226="","",'Sch2a-Imp Price by ECM'!B226)</f>
        <v/>
      </c>
      <c r="B225" s="174" t="str">
        <f>IF('Sch2a-Imp Price by ECM'!D226="","",'Sch2a-Imp Price by ECM'!D226)</f>
        <v/>
      </c>
      <c r="C225" s="458" t="s">
        <v>431</v>
      </c>
      <c r="D225" s="454">
        <f>'Sch4-Cost Savings by ECM'!O225</f>
        <v>0</v>
      </c>
      <c r="E225" s="454">
        <f>VLOOKUP(C225,'eGRID subregion name'!$A$2:$N$30,8,0)</f>
        <v>189.83531623683197</v>
      </c>
      <c r="F225" s="454">
        <f t="shared" si="32"/>
        <v>0</v>
      </c>
      <c r="G225" s="455">
        <f>'Sch4-Cost Savings by ECM'!S225</f>
        <v>0</v>
      </c>
      <c r="H225" s="455">
        <f>VLOOKUP("Natural Gas", 'GHG Emissions'!$D$2:$M$66,4,FALSE)+VLOOKUP("Natural Gas", 'GHG Emissions'!$D$2:$M$66,6,FALSE)*'eGRID subregion name'!$P$3+VLOOKUP("Natural Gas", 'GHG Emissions'!$D$2:$M$66,8,FALSE)*'eGRID subregion name'!$P$4</f>
        <v>53.114800000000002</v>
      </c>
      <c r="I225" s="455">
        <f t="shared" si="28"/>
        <v>0</v>
      </c>
      <c r="J225" s="455">
        <f>'Sch4-Cost Savings by ECM'!U225</f>
        <v>0</v>
      </c>
      <c r="K22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5" s="455">
        <f t="shared" si="29"/>
        <v>0</v>
      </c>
      <c r="M225" s="455">
        <f>'Sch4-Cost Savings by ECM'!W225</f>
        <v>0</v>
      </c>
      <c r="N22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5" s="455">
        <f t="shared" si="30"/>
        <v>0</v>
      </c>
      <c r="P225" s="457">
        <f t="shared" si="27"/>
        <v>0</v>
      </c>
      <c r="Q225" s="455">
        <f>'Sch4-Cost Savings by ECM'!AA225</f>
        <v>0</v>
      </c>
      <c r="R225" s="455">
        <f t="shared" si="33"/>
        <v>0</v>
      </c>
      <c r="S225" s="455">
        <f t="shared" si="34"/>
        <v>0</v>
      </c>
      <c r="T225" s="455">
        <f t="shared" si="31"/>
        <v>0</v>
      </c>
    </row>
    <row r="226" spans="1:20" ht="17" thickBot="1">
      <c r="A226" s="75" t="str">
        <f>IF('Sch2a-Imp Price by ECM'!B227="","",'Sch2a-Imp Price by ECM'!B227)</f>
        <v/>
      </c>
      <c r="B226" s="174" t="str">
        <f>IF('Sch2a-Imp Price by ECM'!D227="","",'Sch2a-Imp Price by ECM'!D227)</f>
        <v/>
      </c>
      <c r="C226" s="458" t="s">
        <v>431</v>
      </c>
      <c r="D226" s="454">
        <f>'Sch4-Cost Savings by ECM'!O226</f>
        <v>0</v>
      </c>
      <c r="E226" s="454">
        <f>VLOOKUP(C226,'eGRID subregion name'!$A$2:$N$30,8,0)</f>
        <v>189.83531623683197</v>
      </c>
      <c r="F226" s="454">
        <f t="shared" si="32"/>
        <v>0</v>
      </c>
      <c r="G226" s="455">
        <f>'Sch4-Cost Savings by ECM'!S226</f>
        <v>0</v>
      </c>
      <c r="H226" s="455">
        <f>VLOOKUP("Natural Gas", 'GHG Emissions'!$D$2:$M$66,4,FALSE)+VLOOKUP("Natural Gas", 'GHG Emissions'!$D$2:$M$66,6,FALSE)*'eGRID subregion name'!$P$3+VLOOKUP("Natural Gas", 'GHG Emissions'!$D$2:$M$66,8,FALSE)*'eGRID subregion name'!$P$4</f>
        <v>53.114800000000002</v>
      </c>
      <c r="I226" s="455">
        <f t="shared" si="28"/>
        <v>0</v>
      </c>
      <c r="J226" s="455">
        <f>'Sch4-Cost Savings by ECM'!U226</f>
        <v>0</v>
      </c>
      <c r="K22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6" s="455">
        <f t="shared" si="29"/>
        <v>0</v>
      </c>
      <c r="M226" s="455">
        <f>'Sch4-Cost Savings by ECM'!W226</f>
        <v>0</v>
      </c>
      <c r="N22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6" s="455">
        <f t="shared" si="30"/>
        <v>0</v>
      </c>
      <c r="P226" s="457">
        <f t="shared" si="27"/>
        <v>0</v>
      </c>
      <c r="Q226" s="455">
        <f>'Sch4-Cost Savings by ECM'!AA226</f>
        <v>0</v>
      </c>
      <c r="R226" s="455">
        <f t="shared" si="33"/>
        <v>0</v>
      </c>
      <c r="S226" s="455">
        <f t="shared" si="34"/>
        <v>0</v>
      </c>
      <c r="T226" s="455">
        <f t="shared" si="31"/>
        <v>0</v>
      </c>
    </row>
    <row r="227" spans="1:20" ht="17" thickBot="1">
      <c r="A227" s="75" t="str">
        <f>IF('Sch2a-Imp Price by ECM'!B228="","",'Sch2a-Imp Price by ECM'!B228)</f>
        <v/>
      </c>
      <c r="B227" s="174" t="str">
        <f>IF('Sch2a-Imp Price by ECM'!D228="","",'Sch2a-Imp Price by ECM'!D228)</f>
        <v/>
      </c>
      <c r="C227" s="458" t="s">
        <v>431</v>
      </c>
      <c r="D227" s="454">
        <f>'Sch4-Cost Savings by ECM'!O227</f>
        <v>0</v>
      </c>
      <c r="E227" s="454">
        <f>VLOOKUP(C227,'eGRID subregion name'!$A$2:$N$30,8,0)</f>
        <v>189.83531623683197</v>
      </c>
      <c r="F227" s="454">
        <f t="shared" si="32"/>
        <v>0</v>
      </c>
      <c r="G227" s="455">
        <f>'Sch4-Cost Savings by ECM'!S227</f>
        <v>0</v>
      </c>
      <c r="H227" s="455">
        <f>VLOOKUP("Natural Gas", 'GHG Emissions'!$D$2:$M$66,4,FALSE)+VLOOKUP("Natural Gas", 'GHG Emissions'!$D$2:$M$66,6,FALSE)*'eGRID subregion name'!$P$3+VLOOKUP("Natural Gas", 'GHG Emissions'!$D$2:$M$66,8,FALSE)*'eGRID subregion name'!$P$4</f>
        <v>53.114800000000002</v>
      </c>
      <c r="I227" s="455">
        <f t="shared" si="28"/>
        <v>0</v>
      </c>
      <c r="J227" s="455">
        <f>'Sch4-Cost Savings by ECM'!U227</f>
        <v>0</v>
      </c>
      <c r="K22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7" s="455">
        <f t="shared" si="29"/>
        <v>0</v>
      </c>
      <c r="M227" s="455">
        <f>'Sch4-Cost Savings by ECM'!W227</f>
        <v>0</v>
      </c>
      <c r="N22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7" s="455">
        <f t="shared" si="30"/>
        <v>0</v>
      </c>
      <c r="P227" s="457">
        <f t="shared" si="27"/>
        <v>0</v>
      </c>
      <c r="Q227" s="455">
        <f>'Sch4-Cost Savings by ECM'!AA227</f>
        <v>0</v>
      </c>
      <c r="R227" s="455">
        <f t="shared" si="33"/>
        <v>0</v>
      </c>
      <c r="S227" s="455">
        <f t="shared" si="34"/>
        <v>0</v>
      </c>
      <c r="T227" s="455">
        <f t="shared" si="31"/>
        <v>0</v>
      </c>
    </row>
    <row r="228" spans="1:20" ht="17" thickBot="1">
      <c r="A228" s="75" t="str">
        <f>IF('Sch2a-Imp Price by ECM'!B229="","",'Sch2a-Imp Price by ECM'!B229)</f>
        <v/>
      </c>
      <c r="B228" s="174" t="str">
        <f>IF('Sch2a-Imp Price by ECM'!D229="","",'Sch2a-Imp Price by ECM'!D229)</f>
        <v/>
      </c>
      <c r="C228" s="458" t="s">
        <v>431</v>
      </c>
      <c r="D228" s="454">
        <f>'Sch4-Cost Savings by ECM'!O228</f>
        <v>0</v>
      </c>
      <c r="E228" s="454">
        <f>VLOOKUP(C228,'eGRID subregion name'!$A$2:$N$30,8,0)</f>
        <v>189.83531623683197</v>
      </c>
      <c r="F228" s="454">
        <f t="shared" si="32"/>
        <v>0</v>
      </c>
      <c r="G228" s="455">
        <f>'Sch4-Cost Savings by ECM'!S228</f>
        <v>0</v>
      </c>
      <c r="H228" s="455">
        <f>VLOOKUP("Natural Gas", 'GHG Emissions'!$D$2:$M$66,4,FALSE)+VLOOKUP("Natural Gas", 'GHG Emissions'!$D$2:$M$66,6,FALSE)*'eGRID subregion name'!$P$3+VLOOKUP("Natural Gas", 'GHG Emissions'!$D$2:$M$66,8,FALSE)*'eGRID subregion name'!$P$4</f>
        <v>53.114800000000002</v>
      </c>
      <c r="I228" s="455">
        <f t="shared" si="28"/>
        <v>0</v>
      </c>
      <c r="J228" s="455">
        <f>'Sch4-Cost Savings by ECM'!U228</f>
        <v>0</v>
      </c>
      <c r="K22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8" s="455">
        <f t="shared" si="29"/>
        <v>0</v>
      </c>
      <c r="M228" s="455">
        <f>'Sch4-Cost Savings by ECM'!W228</f>
        <v>0</v>
      </c>
      <c r="N22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8" s="455">
        <f t="shared" si="30"/>
        <v>0</v>
      </c>
      <c r="P228" s="457">
        <f t="shared" si="27"/>
        <v>0</v>
      </c>
      <c r="Q228" s="455">
        <f>'Sch4-Cost Savings by ECM'!AA228</f>
        <v>0</v>
      </c>
      <c r="R228" s="455">
        <f t="shared" si="33"/>
        <v>0</v>
      </c>
      <c r="S228" s="455">
        <f t="shared" si="34"/>
        <v>0</v>
      </c>
      <c r="T228" s="455">
        <f t="shared" si="31"/>
        <v>0</v>
      </c>
    </row>
    <row r="229" spans="1:20" ht="17" thickBot="1">
      <c r="A229" s="75" t="str">
        <f>IF('Sch2a-Imp Price by ECM'!B230="","",'Sch2a-Imp Price by ECM'!B230)</f>
        <v/>
      </c>
      <c r="B229" s="174" t="str">
        <f>IF('Sch2a-Imp Price by ECM'!D230="","",'Sch2a-Imp Price by ECM'!D230)</f>
        <v/>
      </c>
      <c r="C229" s="458" t="s">
        <v>431</v>
      </c>
      <c r="D229" s="454">
        <f>'Sch4-Cost Savings by ECM'!O229</f>
        <v>0</v>
      </c>
      <c r="E229" s="454">
        <f>VLOOKUP(C229,'eGRID subregion name'!$A$2:$N$30,8,0)</f>
        <v>189.83531623683197</v>
      </c>
      <c r="F229" s="454">
        <f t="shared" si="32"/>
        <v>0</v>
      </c>
      <c r="G229" s="455">
        <f>'Sch4-Cost Savings by ECM'!S229</f>
        <v>0</v>
      </c>
      <c r="H229" s="455">
        <f>VLOOKUP("Natural Gas", 'GHG Emissions'!$D$2:$M$66,4,FALSE)+VLOOKUP("Natural Gas", 'GHG Emissions'!$D$2:$M$66,6,FALSE)*'eGRID subregion name'!$P$3+VLOOKUP("Natural Gas", 'GHG Emissions'!$D$2:$M$66,8,FALSE)*'eGRID subregion name'!$P$4</f>
        <v>53.114800000000002</v>
      </c>
      <c r="I229" s="455">
        <f t="shared" si="28"/>
        <v>0</v>
      </c>
      <c r="J229" s="455">
        <f>'Sch4-Cost Savings by ECM'!U229</f>
        <v>0</v>
      </c>
      <c r="K22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29" s="455">
        <f t="shared" si="29"/>
        <v>0</v>
      </c>
      <c r="M229" s="455">
        <f>'Sch4-Cost Savings by ECM'!W229</f>
        <v>0</v>
      </c>
      <c r="N22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29" s="455">
        <f t="shared" si="30"/>
        <v>0</v>
      </c>
      <c r="P229" s="457">
        <f t="shared" si="27"/>
        <v>0</v>
      </c>
      <c r="Q229" s="455">
        <f>'Sch4-Cost Savings by ECM'!AA229</f>
        <v>0</v>
      </c>
      <c r="R229" s="455">
        <f t="shared" si="33"/>
        <v>0</v>
      </c>
      <c r="S229" s="455">
        <f t="shared" si="34"/>
        <v>0</v>
      </c>
      <c r="T229" s="455">
        <f t="shared" si="31"/>
        <v>0</v>
      </c>
    </row>
    <row r="230" spans="1:20" ht="17" thickBot="1">
      <c r="A230" s="75" t="str">
        <f>IF('Sch2a-Imp Price by ECM'!B231="","",'Sch2a-Imp Price by ECM'!B231)</f>
        <v/>
      </c>
      <c r="B230" s="174" t="str">
        <f>IF('Sch2a-Imp Price by ECM'!D231="","",'Sch2a-Imp Price by ECM'!D231)</f>
        <v/>
      </c>
      <c r="C230" s="458" t="s">
        <v>431</v>
      </c>
      <c r="D230" s="454">
        <f>'Sch4-Cost Savings by ECM'!O230</f>
        <v>0</v>
      </c>
      <c r="E230" s="454">
        <f>VLOOKUP(C230,'eGRID subregion name'!$A$2:$N$30,8,0)</f>
        <v>189.83531623683197</v>
      </c>
      <c r="F230" s="454">
        <f t="shared" si="32"/>
        <v>0</v>
      </c>
      <c r="G230" s="455">
        <f>'Sch4-Cost Savings by ECM'!S230</f>
        <v>0</v>
      </c>
      <c r="H230" s="455">
        <f>VLOOKUP("Natural Gas", 'GHG Emissions'!$D$2:$M$66,4,FALSE)+VLOOKUP("Natural Gas", 'GHG Emissions'!$D$2:$M$66,6,FALSE)*'eGRID subregion name'!$P$3+VLOOKUP("Natural Gas", 'GHG Emissions'!$D$2:$M$66,8,FALSE)*'eGRID subregion name'!$P$4</f>
        <v>53.114800000000002</v>
      </c>
      <c r="I230" s="455">
        <f t="shared" si="28"/>
        <v>0</v>
      </c>
      <c r="J230" s="455">
        <f>'Sch4-Cost Savings by ECM'!U230</f>
        <v>0</v>
      </c>
      <c r="K23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0" s="455">
        <f t="shared" si="29"/>
        <v>0</v>
      </c>
      <c r="M230" s="455">
        <f>'Sch4-Cost Savings by ECM'!W230</f>
        <v>0</v>
      </c>
      <c r="N23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0" s="455">
        <f t="shared" si="30"/>
        <v>0</v>
      </c>
      <c r="P230" s="457">
        <f t="shared" si="27"/>
        <v>0</v>
      </c>
      <c r="Q230" s="455">
        <f>'Sch4-Cost Savings by ECM'!AA230</f>
        <v>0</v>
      </c>
      <c r="R230" s="455">
        <f t="shared" si="33"/>
        <v>0</v>
      </c>
      <c r="S230" s="455">
        <f t="shared" si="34"/>
        <v>0</v>
      </c>
      <c r="T230" s="455">
        <f t="shared" si="31"/>
        <v>0</v>
      </c>
    </row>
    <row r="231" spans="1:20" ht="17" thickBot="1">
      <c r="A231" s="75" t="str">
        <f>IF('Sch2a-Imp Price by ECM'!B232="","",'Sch2a-Imp Price by ECM'!B232)</f>
        <v/>
      </c>
      <c r="B231" s="174" t="str">
        <f>IF('Sch2a-Imp Price by ECM'!D232="","",'Sch2a-Imp Price by ECM'!D232)</f>
        <v/>
      </c>
      <c r="C231" s="458" t="s">
        <v>431</v>
      </c>
      <c r="D231" s="454">
        <f>'Sch4-Cost Savings by ECM'!O231</f>
        <v>0</v>
      </c>
      <c r="E231" s="454">
        <f>VLOOKUP(C231,'eGRID subregion name'!$A$2:$N$30,8,0)</f>
        <v>189.83531623683197</v>
      </c>
      <c r="F231" s="454">
        <f t="shared" si="32"/>
        <v>0</v>
      </c>
      <c r="G231" s="455">
        <f>'Sch4-Cost Savings by ECM'!S231</f>
        <v>0</v>
      </c>
      <c r="H231" s="455">
        <f>VLOOKUP("Natural Gas", 'GHG Emissions'!$D$2:$M$66,4,FALSE)+VLOOKUP("Natural Gas", 'GHG Emissions'!$D$2:$M$66,6,FALSE)*'eGRID subregion name'!$P$3+VLOOKUP("Natural Gas", 'GHG Emissions'!$D$2:$M$66,8,FALSE)*'eGRID subregion name'!$P$4</f>
        <v>53.114800000000002</v>
      </c>
      <c r="I231" s="455">
        <f t="shared" si="28"/>
        <v>0</v>
      </c>
      <c r="J231" s="455">
        <f>'Sch4-Cost Savings by ECM'!U231</f>
        <v>0</v>
      </c>
      <c r="K23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1" s="455">
        <f t="shared" si="29"/>
        <v>0</v>
      </c>
      <c r="M231" s="455">
        <f>'Sch4-Cost Savings by ECM'!W231</f>
        <v>0</v>
      </c>
      <c r="N23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1" s="455">
        <f t="shared" si="30"/>
        <v>0</v>
      </c>
      <c r="P231" s="457">
        <f t="shared" si="27"/>
        <v>0</v>
      </c>
      <c r="Q231" s="455">
        <f>'Sch4-Cost Savings by ECM'!AA231</f>
        <v>0</v>
      </c>
      <c r="R231" s="455">
        <f t="shared" si="33"/>
        <v>0</v>
      </c>
      <c r="S231" s="455">
        <f t="shared" si="34"/>
        <v>0</v>
      </c>
      <c r="T231" s="455">
        <f t="shared" si="31"/>
        <v>0</v>
      </c>
    </row>
    <row r="232" spans="1:20" ht="17" thickBot="1">
      <c r="A232" s="75" t="str">
        <f>IF('Sch2a-Imp Price by ECM'!B233="","",'Sch2a-Imp Price by ECM'!B233)</f>
        <v/>
      </c>
      <c r="B232" s="174" t="str">
        <f>IF('Sch2a-Imp Price by ECM'!D233="","",'Sch2a-Imp Price by ECM'!D233)</f>
        <v/>
      </c>
      <c r="C232" s="458" t="s">
        <v>431</v>
      </c>
      <c r="D232" s="454">
        <f>'Sch4-Cost Savings by ECM'!O232</f>
        <v>0</v>
      </c>
      <c r="E232" s="454">
        <f>VLOOKUP(C232,'eGRID subregion name'!$A$2:$N$30,8,0)</f>
        <v>189.83531623683197</v>
      </c>
      <c r="F232" s="454">
        <f t="shared" si="32"/>
        <v>0</v>
      </c>
      <c r="G232" s="455">
        <f>'Sch4-Cost Savings by ECM'!S232</f>
        <v>0</v>
      </c>
      <c r="H232" s="455">
        <f>VLOOKUP("Natural Gas", 'GHG Emissions'!$D$2:$M$66,4,FALSE)+VLOOKUP("Natural Gas", 'GHG Emissions'!$D$2:$M$66,6,FALSE)*'eGRID subregion name'!$P$3+VLOOKUP("Natural Gas", 'GHG Emissions'!$D$2:$M$66,8,FALSE)*'eGRID subregion name'!$P$4</f>
        <v>53.114800000000002</v>
      </c>
      <c r="I232" s="455">
        <f t="shared" si="28"/>
        <v>0</v>
      </c>
      <c r="J232" s="455">
        <f>'Sch4-Cost Savings by ECM'!U232</f>
        <v>0</v>
      </c>
      <c r="K23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2" s="455">
        <f t="shared" si="29"/>
        <v>0</v>
      </c>
      <c r="M232" s="455">
        <f>'Sch4-Cost Savings by ECM'!W232</f>
        <v>0</v>
      </c>
      <c r="N23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2" s="455">
        <f t="shared" si="30"/>
        <v>0</v>
      </c>
      <c r="P232" s="457">
        <f t="shared" si="27"/>
        <v>0</v>
      </c>
      <c r="Q232" s="455">
        <f>'Sch4-Cost Savings by ECM'!AA232</f>
        <v>0</v>
      </c>
      <c r="R232" s="455">
        <f t="shared" si="33"/>
        <v>0</v>
      </c>
      <c r="S232" s="455">
        <f t="shared" si="34"/>
        <v>0</v>
      </c>
      <c r="T232" s="455">
        <f t="shared" si="31"/>
        <v>0</v>
      </c>
    </row>
    <row r="233" spans="1:20" ht="17" thickBot="1">
      <c r="A233" s="75" t="str">
        <f>IF('Sch2a-Imp Price by ECM'!B234="","",'Sch2a-Imp Price by ECM'!B234)</f>
        <v/>
      </c>
      <c r="B233" s="174" t="str">
        <f>IF('Sch2a-Imp Price by ECM'!D234="","",'Sch2a-Imp Price by ECM'!D234)</f>
        <v/>
      </c>
      <c r="C233" s="458" t="s">
        <v>431</v>
      </c>
      <c r="D233" s="454">
        <f>'Sch4-Cost Savings by ECM'!O233</f>
        <v>0</v>
      </c>
      <c r="E233" s="454">
        <f>VLOOKUP(C233,'eGRID subregion name'!$A$2:$N$30,8,0)</f>
        <v>189.83531623683197</v>
      </c>
      <c r="F233" s="454">
        <f t="shared" si="32"/>
        <v>0</v>
      </c>
      <c r="G233" s="455">
        <f>'Sch4-Cost Savings by ECM'!S233</f>
        <v>0</v>
      </c>
      <c r="H233" s="455">
        <f>VLOOKUP("Natural Gas", 'GHG Emissions'!$D$2:$M$66,4,FALSE)+VLOOKUP("Natural Gas", 'GHG Emissions'!$D$2:$M$66,6,FALSE)*'eGRID subregion name'!$P$3+VLOOKUP("Natural Gas", 'GHG Emissions'!$D$2:$M$66,8,FALSE)*'eGRID subregion name'!$P$4</f>
        <v>53.114800000000002</v>
      </c>
      <c r="I233" s="455">
        <f t="shared" si="28"/>
        <v>0</v>
      </c>
      <c r="J233" s="455">
        <f>'Sch4-Cost Savings by ECM'!U233</f>
        <v>0</v>
      </c>
      <c r="K23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3" s="455">
        <f t="shared" si="29"/>
        <v>0</v>
      </c>
      <c r="M233" s="455">
        <f>'Sch4-Cost Savings by ECM'!W233</f>
        <v>0</v>
      </c>
      <c r="N23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3" s="455">
        <f t="shared" si="30"/>
        <v>0</v>
      </c>
      <c r="P233" s="457">
        <f t="shared" si="27"/>
        <v>0</v>
      </c>
      <c r="Q233" s="455">
        <f>'Sch4-Cost Savings by ECM'!AA233</f>
        <v>0</v>
      </c>
      <c r="R233" s="455">
        <f t="shared" si="33"/>
        <v>0</v>
      </c>
      <c r="S233" s="455">
        <f t="shared" si="34"/>
        <v>0</v>
      </c>
      <c r="T233" s="455">
        <f t="shared" si="31"/>
        <v>0</v>
      </c>
    </row>
    <row r="234" spans="1:20" ht="17" thickBot="1">
      <c r="A234" s="75" t="str">
        <f>IF('Sch2a-Imp Price by ECM'!B235="","",'Sch2a-Imp Price by ECM'!B235)</f>
        <v/>
      </c>
      <c r="B234" s="174" t="str">
        <f>IF('Sch2a-Imp Price by ECM'!D235="","",'Sch2a-Imp Price by ECM'!D235)</f>
        <v/>
      </c>
      <c r="C234" s="458" t="s">
        <v>431</v>
      </c>
      <c r="D234" s="454">
        <f>'Sch4-Cost Savings by ECM'!O234</f>
        <v>0</v>
      </c>
      <c r="E234" s="454">
        <f>VLOOKUP(C234,'eGRID subregion name'!$A$2:$N$30,8,0)</f>
        <v>189.83531623683197</v>
      </c>
      <c r="F234" s="454">
        <f t="shared" si="32"/>
        <v>0</v>
      </c>
      <c r="G234" s="455">
        <f>'Sch4-Cost Savings by ECM'!S234</f>
        <v>0</v>
      </c>
      <c r="H234" s="455">
        <f>VLOOKUP("Natural Gas", 'GHG Emissions'!$D$2:$M$66,4,FALSE)+VLOOKUP("Natural Gas", 'GHG Emissions'!$D$2:$M$66,6,FALSE)*'eGRID subregion name'!$P$3+VLOOKUP("Natural Gas", 'GHG Emissions'!$D$2:$M$66,8,FALSE)*'eGRID subregion name'!$P$4</f>
        <v>53.114800000000002</v>
      </c>
      <c r="I234" s="455">
        <f t="shared" si="28"/>
        <v>0</v>
      </c>
      <c r="J234" s="455">
        <f>'Sch4-Cost Savings by ECM'!U234</f>
        <v>0</v>
      </c>
      <c r="K23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4" s="455">
        <f t="shared" si="29"/>
        <v>0</v>
      </c>
      <c r="M234" s="455">
        <f>'Sch4-Cost Savings by ECM'!W234</f>
        <v>0</v>
      </c>
      <c r="N23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4" s="455">
        <f t="shared" si="30"/>
        <v>0</v>
      </c>
      <c r="P234" s="457">
        <f t="shared" si="27"/>
        <v>0</v>
      </c>
      <c r="Q234" s="455">
        <f>'Sch4-Cost Savings by ECM'!AA234</f>
        <v>0</v>
      </c>
      <c r="R234" s="455">
        <f t="shared" si="33"/>
        <v>0</v>
      </c>
      <c r="S234" s="455">
        <f t="shared" si="34"/>
        <v>0</v>
      </c>
      <c r="T234" s="455">
        <f t="shared" si="31"/>
        <v>0</v>
      </c>
    </row>
    <row r="235" spans="1:20" ht="17" thickBot="1">
      <c r="A235" s="75" t="str">
        <f>IF('Sch2a-Imp Price by ECM'!B236="","",'Sch2a-Imp Price by ECM'!B236)</f>
        <v/>
      </c>
      <c r="B235" s="174" t="str">
        <f>IF('Sch2a-Imp Price by ECM'!D236="","",'Sch2a-Imp Price by ECM'!D236)</f>
        <v/>
      </c>
      <c r="C235" s="458" t="s">
        <v>431</v>
      </c>
      <c r="D235" s="454">
        <f>'Sch4-Cost Savings by ECM'!O235</f>
        <v>0</v>
      </c>
      <c r="E235" s="454">
        <f>VLOOKUP(C235,'eGRID subregion name'!$A$2:$N$30,8,0)</f>
        <v>189.83531623683197</v>
      </c>
      <c r="F235" s="454">
        <f t="shared" si="32"/>
        <v>0</v>
      </c>
      <c r="G235" s="455">
        <f>'Sch4-Cost Savings by ECM'!S235</f>
        <v>0</v>
      </c>
      <c r="H235" s="455">
        <f>VLOOKUP("Natural Gas", 'GHG Emissions'!$D$2:$M$66,4,FALSE)+VLOOKUP("Natural Gas", 'GHG Emissions'!$D$2:$M$66,6,FALSE)*'eGRID subregion name'!$P$3+VLOOKUP("Natural Gas", 'GHG Emissions'!$D$2:$M$66,8,FALSE)*'eGRID subregion name'!$P$4</f>
        <v>53.114800000000002</v>
      </c>
      <c r="I235" s="455">
        <f t="shared" si="28"/>
        <v>0</v>
      </c>
      <c r="J235" s="455">
        <f>'Sch4-Cost Savings by ECM'!U235</f>
        <v>0</v>
      </c>
      <c r="K23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5" s="455">
        <f t="shared" si="29"/>
        <v>0</v>
      </c>
      <c r="M235" s="455">
        <f>'Sch4-Cost Savings by ECM'!W235</f>
        <v>0</v>
      </c>
      <c r="N23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5" s="455">
        <f t="shared" si="30"/>
        <v>0</v>
      </c>
      <c r="P235" s="457">
        <f t="shared" si="27"/>
        <v>0</v>
      </c>
      <c r="Q235" s="455">
        <f>'Sch4-Cost Savings by ECM'!AA235</f>
        <v>0</v>
      </c>
      <c r="R235" s="455">
        <f t="shared" si="33"/>
        <v>0</v>
      </c>
      <c r="S235" s="455">
        <f t="shared" si="34"/>
        <v>0</v>
      </c>
      <c r="T235" s="455">
        <f t="shared" si="31"/>
        <v>0</v>
      </c>
    </row>
    <row r="236" spans="1:20" ht="17" thickBot="1">
      <c r="A236" s="75" t="str">
        <f>IF('Sch2a-Imp Price by ECM'!B237="","",'Sch2a-Imp Price by ECM'!B237)</f>
        <v/>
      </c>
      <c r="B236" s="174" t="str">
        <f>IF('Sch2a-Imp Price by ECM'!D237="","",'Sch2a-Imp Price by ECM'!D237)</f>
        <v/>
      </c>
      <c r="C236" s="458" t="s">
        <v>431</v>
      </c>
      <c r="D236" s="454">
        <f>'Sch4-Cost Savings by ECM'!O236</f>
        <v>0</v>
      </c>
      <c r="E236" s="454">
        <f>VLOOKUP(C236,'eGRID subregion name'!$A$2:$N$30,8,0)</f>
        <v>189.83531623683197</v>
      </c>
      <c r="F236" s="454">
        <f t="shared" si="32"/>
        <v>0</v>
      </c>
      <c r="G236" s="455">
        <f>'Sch4-Cost Savings by ECM'!S236</f>
        <v>0</v>
      </c>
      <c r="H236" s="455">
        <f>VLOOKUP("Natural Gas", 'GHG Emissions'!$D$2:$M$66,4,FALSE)+VLOOKUP("Natural Gas", 'GHG Emissions'!$D$2:$M$66,6,FALSE)*'eGRID subregion name'!$P$3+VLOOKUP("Natural Gas", 'GHG Emissions'!$D$2:$M$66,8,FALSE)*'eGRID subregion name'!$P$4</f>
        <v>53.114800000000002</v>
      </c>
      <c r="I236" s="455">
        <f t="shared" si="28"/>
        <v>0</v>
      </c>
      <c r="J236" s="455">
        <f>'Sch4-Cost Savings by ECM'!U236</f>
        <v>0</v>
      </c>
      <c r="K23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6" s="455">
        <f t="shared" si="29"/>
        <v>0</v>
      </c>
      <c r="M236" s="455">
        <f>'Sch4-Cost Savings by ECM'!W236</f>
        <v>0</v>
      </c>
      <c r="N23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6" s="455">
        <f t="shared" si="30"/>
        <v>0</v>
      </c>
      <c r="P236" s="457">
        <f t="shared" si="27"/>
        <v>0</v>
      </c>
      <c r="Q236" s="455">
        <f>'Sch4-Cost Savings by ECM'!AA236</f>
        <v>0</v>
      </c>
      <c r="R236" s="455">
        <f t="shared" si="33"/>
        <v>0</v>
      </c>
      <c r="S236" s="455">
        <f t="shared" si="34"/>
        <v>0</v>
      </c>
      <c r="T236" s="455">
        <f t="shared" si="31"/>
        <v>0</v>
      </c>
    </row>
    <row r="237" spans="1:20" ht="17" thickBot="1">
      <c r="A237" s="75" t="str">
        <f>IF('Sch2a-Imp Price by ECM'!B238="","",'Sch2a-Imp Price by ECM'!B238)</f>
        <v/>
      </c>
      <c r="B237" s="174" t="str">
        <f>IF('Sch2a-Imp Price by ECM'!D238="","",'Sch2a-Imp Price by ECM'!D238)</f>
        <v/>
      </c>
      <c r="C237" s="458" t="s">
        <v>431</v>
      </c>
      <c r="D237" s="454">
        <f>'Sch4-Cost Savings by ECM'!O237</f>
        <v>0</v>
      </c>
      <c r="E237" s="454">
        <f>VLOOKUP(C237,'eGRID subregion name'!$A$2:$N$30,8,0)</f>
        <v>189.83531623683197</v>
      </c>
      <c r="F237" s="454">
        <f t="shared" si="32"/>
        <v>0</v>
      </c>
      <c r="G237" s="455">
        <f>'Sch4-Cost Savings by ECM'!S237</f>
        <v>0</v>
      </c>
      <c r="H237" s="455">
        <f>VLOOKUP("Natural Gas", 'GHG Emissions'!$D$2:$M$66,4,FALSE)+VLOOKUP("Natural Gas", 'GHG Emissions'!$D$2:$M$66,6,FALSE)*'eGRID subregion name'!$P$3+VLOOKUP("Natural Gas", 'GHG Emissions'!$D$2:$M$66,8,FALSE)*'eGRID subregion name'!$P$4</f>
        <v>53.114800000000002</v>
      </c>
      <c r="I237" s="455">
        <f t="shared" si="28"/>
        <v>0</v>
      </c>
      <c r="J237" s="455">
        <f>'Sch4-Cost Savings by ECM'!U237</f>
        <v>0</v>
      </c>
      <c r="K23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7" s="455">
        <f t="shared" si="29"/>
        <v>0</v>
      </c>
      <c r="M237" s="455">
        <f>'Sch4-Cost Savings by ECM'!W237</f>
        <v>0</v>
      </c>
      <c r="N23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7" s="455">
        <f t="shared" si="30"/>
        <v>0</v>
      </c>
      <c r="P237" s="457">
        <f t="shared" si="27"/>
        <v>0</v>
      </c>
      <c r="Q237" s="455">
        <f>'Sch4-Cost Savings by ECM'!AA237</f>
        <v>0</v>
      </c>
      <c r="R237" s="455">
        <f t="shared" si="33"/>
        <v>0</v>
      </c>
      <c r="S237" s="455">
        <f t="shared" si="34"/>
        <v>0</v>
      </c>
      <c r="T237" s="455">
        <f t="shared" si="31"/>
        <v>0</v>
      </c>
    </row>
    <row r="238" spans="1:20" ht="17" thickBot="1">
      <c r="A238" s="75" t="str">
        <f>IF('Sch2a-Imp Price by ECM'!B239="","",'Sch2a-Imp Price by ECM'!B239)</f>
        <v/>
      </c>
      <c r="B238" s="174" t="str">
        <f>IF('Sch2a-Imp Price by ECM'!D239="","",'Sch2a-Imp Price by ECM'!D239)</f>
        <v/>
      </c>
      <c r="C238" s="458" t="s">
        <v>431</v>
      </c>
      <c r="D238" s="454">
        <f>'Sch4-Cost Savings by ECM'!O238</f>
        <v>0</v>
      </c>
      <c r="E238" s="454">
        <f>VLOOKUP(C238,'eGRID subregion name'!$A$2:$N$30,8,0)</f>
        <v>189.83531623683197</v>
      </c>
      <c r="F238" s="454">
        <f t="shared" si="32"/>
        <v>0</v>
      </c>
      <c r="G238" s="455">
        <f>'Sch4-Cost Savings by ECM'!S238</f>
        <v>0</v>
      </c>
      <c r="H238" s="455">
        <f>VLOOKUP("Natural Gas", 'GHG Emissions'!$D$2:$M$66,4,FALSE)+VLOOKUP("Natural Gas", 'GHG Emissions'!$D$2:$M$66,6,FALSE)*'eGRID subregion name'!$P$3+VLOOKUP("Natural Gas", 'GHG Emissions'!$D$2:$M$66,8,FALSE)*'eGRID subregion name'!$P$4</f>
        <v>53.114800000000002</v>
      </c>
      <c r="I238" s="455">
        <f t="shared" si="28"/>
        <v>0</v>
      </c>
      <c r="J238" s="455">
        <f>'Sch4-Cost Savings by ECM'!U238</f>
        <v>0</v>
      </c>
      <c r="K23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8" s="455">
        <f t="shared" si="29"/>
        <v>0</v>
      </c>
      <c r="M238" s="455">
        <f>'Sch4-Cost Savings by ECM'!W238</f>
        <v>0</v>
      </c>
      <c r="N23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8" s="455">
        <f t="shared" si="30"/>
        <v>0</v>
      </c>
      <c r="P238" s="457">
        <f t="shared" si="27"/>
        <v>0</v>
      </c>
      <c r="Q238" s="455">
        <f>'Sch4-Cost Savings by ECM'!AA238</f>
        <v>0</v>
      </c>
      <c r="R238" s="455">
        <f t="shared" si="33"/>
        <v>0</v>
      </c>
      <c r="S238" s="455">
        <f t="shared" si="34"/>
        <v>0</v>
      </c>
      <c r="T238" s="455">
        <f t="shared" si="31"/>
        <v>0</v>
      </c>
    </row>
    <row r="239" spans="1:20" ht="17" thickBot="1">
      <c r="A239" s="75" t="str">
        <f>IF('Sch2a-Imp Price by ECM'!B240="","",'Sch2a-Imp Price by ECM'!B240)</f>
        <v/>
      </c>
      <c r="B239" s="174" t="str">
        <f>IF('Sch2a-Imp Price by ECM'!D240="","",'Sch2a-Imp Price by ECM'!D240)</f>
        <v/>
      </c>
      <c r="C239" s="458" t="s">
        <v>431</v>
      </c>
      <c r="D239" s="454">
        <f>'Sch4-Cost Savings by ECM'!O239</f>
        <v>0</v>
      </c>
      <c r="E239" s="454">
        <f>VLOOKUP(C239,'eGRID subregion name'!$A$2:$N$30,8,0)</f>
        <v>189.83531623683197</v>
      </c>
      <c r="F239" s="454">
        <f t="shared" si="32"/>
        <v>0</v>
      </c>
      <c r="G239" s="455">
        <f>'Sch4-Cost Savings by ECM'!S239</f>
        <v>0</v>
      </c>
      <c r="H239" s="455">
        <f>VLOOKUP("Natural Gas", 'GHG Emissions'!$D$2:$M$66,4,FALSE)+VLOOKUP("Natural Gas", 'GHG Emissions'!$D$2:$M$66,6,FALSE)*'eGRID subregion name'!$P$3+VLOOKUP("Natural Gas", 'GHG Emissions'!$D$2:$M$66,8,FALSE)*'eGRID subregion name'!$P$4</f>
        <v>53.114800000000002</v>
      </c>
      <c r="I239" s="455">
        <f t="shared" si="28"/>
        <v>0</v>
      </c>
      <c r="J239" s="455">
        <f>'Sch4-Cost Savings by ECM'!U239</f>
        <v>0</v>
      </c>
      <c r="K23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39" s="455">
        <f t="shared" si="29"/>
        <v>0</v>
      </c>
      <c r="M239" s="455">
        <f>'Sch4-Cost Savings by ECM'!W239</f>
        <v>0</v>
      </c>
      <c r="N23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39" s="455">
        <f t="shared" si="30"/>
        <v>0</v>
      </c>
      <c r="P239" s="457">
        <f t="shared" si="27"/>
        <v>0</v>
      </c>
      <c r="Q239" s="455">
        <f>'Sch4-Cost Savings by ECM'!AA239</f>
        <v>0</v>
      </c>
      <c r="R239" s="455">
        <f t="shared" si="33"/>
        <v>0</v>
      </c>
      <c r="S239" s="455">
        <f t="shared" si="34"/>
        <v>0</v>
      </c>
      <c r="T239" s="455">
        <f t="shared" si="31"/>
        <v>0</v>
      </c>
    </row>
    <row r="240" spans="1:20" ht="17" thickBot="1">
      <c r="A240" s="75" t="str">
        <f>IF('Sch2a-Imp Price by ECM'!B241="","",'Sch2a-Imp Price by ECM'!B241)</f>
        <v/>
      </c>
      <c r="B240" s="174" t="str">
        <f>IF('Sch2a-Imp Price by ECM'!D241="","",'Sch2a-Imp Price by ECM'!D241)</f>
        <v/>
      </c>
      <c r="C240" s="458" t="s">
        <v>431</v>
      </c>
      <c r="D240" s="454">
        <f>'Sch4-Cost Savings by ECM'!O240</f>
        <v>0</v>
      </c>
      <c r="E240" s="454">
        <f>VLOOKUP(C240,'eGRID subregion name'!$A$2:$N$30,8,0)</f>
        <v>189.83531623683197</v>
      </c>
      <c r="F240" s="454">
        <f t="shared" si="32"/>
        <v>0</v>
      </c>
      <c r="G240" s="455">
        <f>'Sch4-Cost Savings by ECM'!S240</f>
        <v>0</v>
      </c>
      <c r="H240" s="455">
        <f>VLOOKUP("Natural Gas", 'GHG Emissions'!$D$2:$M$66,4,FALSE)+VLOOKUP("Natural Gas", 'GHG Emissions'!$D$2:$M$66,6,FALSE)*'eGRID subregion name'!$P$3+VLOOKUP("Natural Gas", 'GHG Emissions'!$D$2:$M$66,8,FALSE)*'eGRID subregion name'!$P$4</f>
        <v>53.114800000000002</v>
      </c>
      <c r="I240" s="455">
        <f t="shared" si="28"/>
        <v>0</v>
      </c>
      <c r="J240" s="455">
        <f>'Sch4-Cost Savings by ECM'!U240</f>
        <v>0</v>
      </c>
      <c r="K24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0" s="455">
        <f t="shared" si="29"/>
        <v>0</v>
      </c>
      <c r="M240" s="455">
        <f>'Sch4-Cost Savings by ECM'!W240</f>
        <v>0</v>
      </c>
      <c r="N24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0" s="455">
        <f t="shared" si="30"/>
        <v>0</v>
      </c>
      <c r="P240" s="457">
        <f t="shared" si="27"/>
        <v>0</v>
      </c>
      <c r="Q240" s="455">
        <f>'Sch4-Cost Savings by ECM'!AA240</f>
        <v>0</v>
      </c>
      <c r="R240" s="455">
        <f t="shared" si="33"/>
        <v>0</v>
      </c>
      <c r="S240" s="455">
        <f t="shared" si="34"/>
        <v>0</v>
      </c>
      <c r="T240" s="455">
        <f t="shared" si="31"/>
        <v>0</v>
      </c>
    </row>
    <row r="241" spans="1:20" ht="17" thickBot="1">
      <c r="A241" s="75" t="str">
        <f>IF('Sch2a-Imp Price by ECM'!B242="","",'Sch2a-Imp Price by ECM'!B242)</f>
        <v/>
      </c>
      <c r="B241" s="174" t="str">
        <f>IF('Sch2a-Imp Price by ECM'!D242="","",'Sch2a-Imp Price by ECM'!D242)</f>
        <v/>
      </c>
      <c r="C241" s="458" t="s">
        <v>431</v>
      </c>
      <c r="D241" s="454">
        <f>'Sch4-Cost Savings by ECM'!O241</f>
        <v>0</v>
      </c>
      <c r="E241" s="454">
        <f>VLOOKUP(C241,'eGRID subregion name'!$A$2:$N$30,8,0)</f>
        <v>189.83531623683197</v>
      </c>
      <c r="F241" s="454">
        <f t="shared" si="32"/>
        <v>0</v>
      </c>
      <c r="G241" s="455">
        <f>'Sch4-Cost Savings by ECM'!S241</f>
        <v>0</v>
      </c>
      <c r="H241" s="455">
        <f>VLOOKUP("Natural Gas", 'GHG Emissions'!$D$2:$M$66,4,FALSE)+VLOOKUP("Natural Gas", 'GHG Emissions'!$D$2:$M$66,6,FALSE)*'eGRID subregion name'!$P$3+VLOOKUP("Natural Gas", 'GHG Emissions'!$D$2:$M$66,8,FALSE)*'eGRID subregion name'!$P$4</f>
        <v>53.114800000000002</v>
      </c>
      <c r="I241" s="455">
        <f t="shared" si="28"/>
        <v>0</v>
      </c>
      <c r="J241" s="455">
        <f>'Sch4-Cost Savings by ECM'!U241</f>
        <v>0</v>
      </c>
      <c r="K24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1" s="455">
        <f t="shared" si="29"/>
        <v>0</v>
      </c>
      <c r="M241" s="455">
        <f>'Sch4-Cost Savings by ECM'!W241</f>
        <v>0</v>
      </c>
      <c r="N24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1" s="455">
        <f t="shared" si="30"/>
        <v>0</v>
      </c>
      <c r="P241" s="457">
        <f t="shared" si="27"/>
        <v>0</v>
      </c>
      <c r="Q241" s="455">
        <f>'Sch4-Cost Savings by ECM'!AA241</f>
        <v>0</v>
      </c>
      <c r="R241" s="455">
        <f t="shared" si="33"/>
        <v>0</v>
      </c>
      <c r="S241" s="455">
        <f t="shared" si="34"/>
        <v>0</v>
      </c>
      <c r="T241" s="455">
        <f t="shared" si="31"/>
        <v>0</v>
      </c>
    </row>
    <row r="242" spans="1:20" ht="17" thickBot="1">
      <c r="A242" s="75" t="str">
        <f>IF('Sch2a-Imp Price by ECM'!B243="","",'Sch2a-Imp Price by ECM'!B243)</f>
        <v/>
      </c>
      <c r="B242" s="174" t="str">
        <f>IF('Sch2a-Imp Price by ECM'!D243="","",'Sch2a-Imp Price by ECM'!D243)</f>
        <v/>
      </c>
      <c r="C242" s="458" t="s">
        <v>431</v>
      </c>
      <c r="D242" s="454">
        <f>'Sch4-Cost Savings by ECM'!O242</f>
        <v>0</v>
      </c>
      <c r="E242" s="454">
        <f>VLOOKUP(C242,'eGRID subregion name'!$A$2:$N$30,8,0)</f>
        <v>189.83531623683197</v>
      </c>
      <c r="F242" s="454">
        <f t="shared" si="32"/>
        <v>0</v>
      </c>
      <c r="G242" s="455">
        <f>'Sch4-Cost Savings by ECM'!S242</f>
        <v>0</v>
      </c>
      <c r="H242" s="455">
        <f>VLOOKUP("Natural Gas", 'GHG Emissions'!$D$2:$M$66,4,FALSE)+VLOOKUP("Natural Gas", 'GHG Emissions'!$D$2:$M$66,6,FALSE)*'eGRID subregion name'!$P$3+VLOOKUP("Natural Gas", 'GHG Emissions'!$D$2:$M$66,8,FALSE)*'eGRID subregion name'!$P$4</f>
        <v>53.114800000000002</v>
      </c>
      <c r="I242" s="455">
        <f t="shared" si="28"/>
        <v>0</v>
      </c>
      <c r="J242" s="455">
        <f>'Sch4-Cost Savings by ECM'!U242</f>
        <v>0</v>
      </c>
      <c r="K24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2" s="455">
        <f t="shared" si="29"/>
        <v>0</v>
      </c>
      <c r="M242" s="455">
        <f>'Sch4-Cost Savings by ECM'!W242</f>
        <v>0</v>
      </c>
      <c r="N24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2" s="455">
        <f t="shared" si="30"/>
        <v>0</v>
      </c>
      <c r="P242" s="457">
        <f t="shared" si="27"/>
        <v>0</v>
      </c>
      <c r="Q242" s="455">
        <f>'Sch4-Cost Savings by ECM'!AA242</f>
        <v>0</v>
      </c>
      <c r="R242" s="455">
        <f t="shared" si="33"/>
        <v>0</v>
      </c>
      <c r="S242" s="455">
        <f t="shared" si="34"/>
        <v>0</v>
      </c>
      <c r="T242" s="455">
        <f t="shared" si="31"/>
        <v>0</v>
      </c>
    </row>
    <row r="243" spans="1:20" ht="17" thickBot="1">
      <c r="A243" s="75" t="str">
        <f>IF('Sch2a-Imp Price by ECM'!B244="","",'Sch2a-Imp Price by ECM'!B244)</f>
        <v/>
      </c>
      <c r="B243" s="174" t="str">
        <f>IF('Sch2a-Imp Price by ECM'!D244="","",'Sch2a-Imp Price by ECM'!D244)</f>
        <v/>
      </c>
      <c r="C243" s="458" t="s">
        <v>431</v>
      </c>
      <c r="D243" s="454">
        <f>'Sch4-Cost Savings by ECM'!O243</f>
        <v>0</v>
      </c>
      <c r="E243" s="454">
        <f>VLOOKUP(C243,'eGRID subregion name'!$A$2:$N$30,8,0)</f>
        <v>189.83531623683197</v>
      </c>
      <c r="F243" s="454">
        <f t="shared" si="32"/>
        <v>0</v>
      </c>
      <c r="G243" s="455">
        <f>'Sch4-Cost Savings by ECM'!S243</f>
        <v>0</v>
      </c>
      <c r="H243" s="455">
        <f>VLOOKUP("Natural Gas", 'GHG Emissions'!$D$2:$M$66,4,FALSE)+VLOOKUP("Natural Gas", 'GHG Emissions'!$D$2:$M$66,6,FALSE)*'eGRID subregion name'!$P$3+VLOOKUP("Natural Gas", 'GHG Emissions'!$D$2:$M$66,8,FALSE)*'eGRID subregion name'!$P$4</f>
        <v>53.114800000000002</v>
      </c>
      <c r="I243" s="455">
        <f t="shared" si="28"/>
        <v>0</v>
      </c>
      <c r="J243" s="455">
        <f>'Sch4-Cost Savings by ECM'!U243</f>
        <v>0</v>
      </c>
      <c r="K24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3" s="455">
        <f t="shared" si="29"/>
        <v>0</v>
      </c>
      <c r="M243" s="455">
        <f>'Sch4-Cost Savings by ECM'!W243</f>
        <v>0</v>
      </c>
      <c r="N24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3" s="455">
        <f t="shared" si="30"/>
        <v>0</v>
      </c>
      <c r="P243" s="457">
        <f t="shared" si="27"/>
        <v>0</v>
      </c>
      <c r="Q243" s="455">
        <f>'Sch4-Cost Savings by ECM'!AA243</f>
        <v>0</v>
      </c>
      <c r="R243" s="455">
        <f t="shared" si="33"/>
        <v>0</v>
      </c>
      <c r="S243" s="455">
        <f t="shared" si="34"/>
        <v>0</v>
      </c>
      <c r="T243" s="455">
        <f t="shared" si="31"/>
        <v>0</v>
      </c>
    </row>
    <row r="244" spans="1:20" ht="18" customHeight="1" thickBot="1">
      <c r="A244" s="75" t="str">
        <f>IF('Sch2a-Imp Price by ECM'!B245="","",'Sch2a-Imp Price by ECM'!B245)</f>
        <v/>
      </c>
      <c r="B244" s="174" t="str">
        <f>IF('Sch2a-Imp Price by ECM'!D245="","",'Sch2a-Imp Price by ECM'!D245)</f>
        <v/>
      </c>
      <c r="C244" s="458" t="s">
        <v>431</v>
      </c>
      <c r="D244" s="454">
        <f>'Sch4-Cost Savings by ECM'!O244</f>
        <v>0</v>
      </c>
      <c r="E244" s="454">
        <f>VLOOKUP(C244,'eGRID subregion name'!$A$2:$N$30,8,0)</f>
        <v>189.83531623683197</v>
      </c>
      <c r="F244" s="454">
        <f t="shared" si="32"/>
        <v>0</v>
      </c>
      <c r="G244" s="455">
        <f>'Sch4-Cost Savings by ECM'!S244</f>
        <v>0</v>
      </c>
      <c r="H244" s="455">
        <f>VLOOKUP("Natural Gas", 'GHG Emissions'!$D$2:$M$66,4,FALSE)+VLOOKUP("Natural Gas", 'GHG Emissions'!$D$2:$M$66,6,FALSE)*'eGRID subregion name'!$P$3+VLOOKUP("Natural Gas", 'GHG Emissions'!$D$2:$M$66,8,FALSE)*'eGRID subregion name'!$P$4</f>
        <v>53.114800000000002</v>
      </c>
      <c r="I244" s="455">
        <f t="shared" si="28"/>
        <v>0</v>
      </c>
      <c r="J244" s="455">
        <f>'Sch4-Cost Savings by ECM'!U244</f>
        <v>0</v>
      </c>
      <c r="K24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4" s="455">
        <f t="shared" si="29"/>
        <v>0</v>
      </c>
      <c r="M244" s="455">
        <f>'Sch4-Cost Savings by ECM'!W244</f>
        <v>0</v>
      </c>
      <c r="N24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4" s="455">
        <f t="shared" si="30"/>
        <v>0</v>
      </c>
      <c r="P244" s="457">
        <f t="shared" si="27"/>
        <v>0</v>
      </c>
      <c r="Q244" s="455">
        <f>'Sch4-Cost Savings by ECM'!AA244</f>
        <v>0</v>
      </c>
      <c r="R244" s="455">
        <f t="shared" si="33"/>
        <v>0</v>
      </c>
      <c r="S244" s="455">
        <f t="shared" si="34"/>
        <v>0</v>
      </c>
      <c r="T244" s="455">
        <f t="shared" si="31"/>
        <v>0</v>
      </c>
    </row>
    <row r="245" spans="1:20" ht="17" thickBot="1">
      <c r="A245" s="75" t="str">
        <f>IF('Sch2a-Imp Price by ECM'!B246="","",'Sch2a-Imp Price by ECM'!B246)</f>
        <v/>
      </c>
      <c r="B245" s="174" t="str">
        <f>IF('Sch2a-Imp Price by ECM'!D246="","",'Sch2a-Imp Price by ECM'!D246)</f>
        <v/>
      </c>
      <c r="C245" s="458" t="s">
        <v>431</v>
      </c>
      <c r="D245" s="454">
        <f>'Sch4-Cost Savings by ECM'!O245</f>
        <v>0</v>
      </c>
      <c r="E245" s="454">
        <f>VLOOKUP(C245,'eGRID subregion name'!$A$2:$N$30,8,0)</f>
        <v>189.83531623683197</v>
      </c>
      <c r="F245" s="454">
        <f t="shared" si="32"/>
        <v>0</v>
      </c>
      <c r="G245" s="455">
        <f>'Sch4-Cost Savings by ECM'!S245</f>
        <v>0</v>
      </c>
      <c r="H245" s="455">
        <f>VLOOKUP("Natural Gas", 'GHG Emissions'!$D$2:$M$66,4,FALSE)+VLOOKUP("Natural Gas", 'GHG Emissions'!$D$2:$M$66,6,FALSE)*'eGRID subregion name'!$P$3+VLOOKUP("Natural Gas", 'GHG Emissions'!$D$2:$M$66,8,FALSE)*'eGRID subregion name'!$P$4</f>
        <v>53.114800000000002</v>
      </c>
      <c r="I245" s="455">
        <f t="shared" si="28"/>
        <v>0</v>
      </c>
      <c r="J245" s="455">
        <f>'Sch4-Cost Savings by ECM'!U245</f>
        <v>0</v>
      </c>
      <c r="K24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5" s="455">
        <f t="shared" si="29"/>
        <v>0</v>
      </c>
      <c r="M245" s="455">
        <f>'Sch4-Cost Savings by ECM'!W245</f>
        <v>0</v>
      </c>
      <c r="N24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5" s="455">
        <f t="shared" si="30"/>
        <v>0</v>
      </c>
      <c r="P245" s="457">
        <f t="shared" si="27"/>
        <v>0</v>
      </c>
      <c r="Q245" s="455">
        <f>'Sch4-Cost Savings by ECM'!AA245</f>
        <v>0</v>
      </c>
      <c r="R245" s="455">
        <f t="shared" si="33"/>
        <v>0</v>
      </c>
      <c r="S245" s="455">
        <f t="shared" si="34"/>
        <v>0</v>
      </c>
      <c r="T245" s="455">
        <f t="shared" si="31"/>
        <v>0</v>
      </c>
    </row>
    <row r="246" spans="1:20" ht="17" thickBot="1">
      <c r="A246" s="75" t="str">
        <f>IF('Sch2a-Imp Price by ECM'!B247="","",'Sch2a-Imp Price by ECM'!B247)</f>
        <v/>
      </c>
      <c r="B246" s="174" t="str">
        <f>IF('Sch2a-Imp Price by ECM'!D247="","",'Sch2a-Imp Price by ECM'!D247)</f>
        <v/>
      </c>
      <c r="C246" s="458" t="s">
        <v>431</v>
      </c>
      <c r="D246" s="454">
        <f>'Sch4-Cost Savings by ECM'!O246</f>
        <v>0</v>
      </c>
      <c r="E246" s="454">
        <f>VLOOKUP(C246,'eGRID subregion name'!$A$2:$N$30,8,0)</f>
        <v>189.83531623683197</v>
      </c>
      <c r="F246" s="454">
        <f t="shared" si="32"/>
        <v>0</v>
      </c>
      <c r="G246" s="455">
        <f>'Sch4-Cost Savings by ECM'!S246</f>
        <v>0</v>
      </c>
      <c r="H246" s="455">
        <f>VLOOKUP("Natural Gas", 'GHG Emissions'!$D$2:$M$66,4,FALSE)+VLOOKUP("Natural Gas", 'GHG Emissions'!$D$2:$M$66,6,FALSE)*'eGRID subregion name'!$P$3+VLOOKUP("Natural Gas", 'GHG Emissions'!$D$2:$M$66,8,FALSE)*'eGRID subregion name'!$P$4</f>
        <v>53.114800000000002</v>
      </c>
      <c r="I246" s="455">
        <f t="shared" si="28"/>
        <v>0</v>
      </c>
      <c r="J246" s="455">
        <f>'Sch4-Cost Savings by ECM'!U246</f>
        <v>0</v>
      </c>
      <c r="K24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6" s="455">
        <f t="shared" si="29"/>
        <v>0</v>
      </c>
      <c r="M246" s="455">
        <f>'Sch4-Cost Savings by ECM'!W246</f>
        <v>0</v>
      </c>
      <c r="N24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6" s="455">
        <f t="shared" si="30"/>
        <v>0</v>
      </c>
      <c r="P246" s="457">
        <f t="shared" si="27"/>
        <v>0</v>
      </c>
      <c r="Q246" s="455">
        <f>'Sch4-Cost Savings by ECM'!AA246</f>
        <v>0</v>
      </c>
      <c r="R246" s="455">
        <f t="shared" si="33"/>
        <v>0</v>
      </c>
      <c r="S246" s="455">
        <f t="shared" si="34"/>
        <v>0</v>
      </c>
      <c r="T246" s="455">
        <f t="shared" si="31"/>
        <v>0</v>
      </c>
    </row>
    <row r="247" spans="1:20" ht="17" thickBot="1">
      <c r="A247" s="75" t="str">
        <f>IF('Sch2a-Imp Price by ECM'!B248="","",'Sch2a-Imp Price by ECM'!B248)</f>
        <v/>
      </c>
      <c r="B247" s="174" t="str">
        <f>IF('Sch2a-Imp Price by ECM'!D248="","",'Sch2a-Imp Price by ECM'!D248)</f>
        <v/>
      </c>
      <c r="C247" s="458" t="s">
        <v>431</v>
      </c>
      <c r="D247" s="454">
        <f>'Sch4-Cost Savings by ECM'!O247</f>
        <v>0</v>
      </c>
      <c r="E247" s="454">
        <f>VLOOKUP(C247,'eGRID subregion name'!$A$2:$N$30,8,0)</f>
        <v>189.83531623683197</v>
      </c>
      <c r="F247" s="454">
        <f t="shared" si="32"/>
        <v>0</v>
      </c>
      <c r="G247" s="455">
        <f>'Sch4-Cost Savings by ECM'!S247</f>
        <v>0</v>
      </c>
      <c r="H247" s="455">
        <f>VLOOKUP("Natural Gas", 'GHG Emissions'!$D$2:$M$66,4,FALSE)+VLOOKUP("Natural Gas", 'GHG Emissions'!$D$2:$M$66,6,FALSE)*'eGRID subregion name'!$P$3+VLOOKUP("Natural Gas", 'GHG Emissions'!$D$2:$M$66,8,FALSE)*'eGRID subregion name'!$P$4</f>
        <v>53.114800000000002</v>
      </c>
      <c r="I247" s="455">
        <f t="shared" si="28"/>
        <v>0</v>
      </c>
      <c r="J247" s="455">
        <f>'Sch4-Cost Savings by ECM'!U247</f>
        <v>0</v>
      </c>
      <c r="K24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7" s="455">
        <f t="shared" si="29"/>
        <v>0</v>
      </c>
      <c r="M247" s="455">
        <f>'Sch4-Cost Savings by ECM'!W247</f>
        <v>0</v>
      </c>
      <c r="N24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7" s="455">
        <f t="shared" si="30"/>
        <v>0</v>
      </c>
      <c r="P247" s="457">
        <f t="shared" si="27"/>
        <v>0</v>
      </c>
      <c r="Q247" s="455">
        <f>'Sch4-Cost Savings by ECM'!AA247</f>
        <v>0</v>
      </c>
      <c r="R247" s="455">
        <f t="shared" si="33"/>
        <v>0</v>
      </c>
      <c r="S247" s="455">
        <f t="shared" si="34"/>
        <v>0</v>
      </c>
      <c r="T247" s="455">
        <f t="shared" si="31"/>
        <v>0</v>
      </c>
    </row>
    <row r="248" spans="1:20" ht="17" thickBot="1">
      <c r="A248" s="75" t="str">
        <f>IF('Sch2a-Imp Price by ECM'!B249="","",'Sch2a-Imp Price by ECM'!B249)</f>
        <v/>
      </c>
      <c r="B248" s="174" t="str">
        <f>IF('Sch2a-Imp Price by ECM'!D249="","",'Sch2a-Imp Price by ECM'!D249)</f>
        <v/>
      </c>
      <c r="C248" s="458" t="s">
        <v>431</v>
      </c>
      <c r="D248" s="454">
        <f>'Sch4-Cost Savings by ECM'!O248</f>
        <v>0</v>
      </c>
      <c r="E248" s="454">
        <f>VLOOKUP(C248,'eGRID subregion name'!$A$2:$N$30,8,0)</f>
        <v>189.83531623683197</v>
      </c>
      <c r="F248" s="454">
        <f t="shared" si="32"/>
        <v>0</v>
      </c>
      <c r="G248" s="455">
        <f>'Sch4-Cost Savings by ECM'!S248</f>
        <v>0</v>
      </c>
      <c r="H248" s="455">
        <f>VLOOKUP("Natural Gas", 'GHG Emissions'!$D$2:$M$66,4,FALSE)+VLOOKUP("Natural Gas", 'GHG Emissions'!$D$2:$M$66,6,FALSE)*'eGRID subregion name'!$P$3+VLOOKUP("Natural Gas", 'GHG Emissions'!$D$2:$M$66,8,FALSE)*'eGRID subregion name'!$P$4</f>
        <v>53.114800000000002</v>
      </c>
      <c r="I248" s="455">
        <f t="shared" si="28"/>
        <v>0</v>
      </c>
      <c r="J248" s="455">
        <f>'Sch4-Cost Savings by ECM'!U248</f>
        <v>0</v>
      </c>
      <c r="K248"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8" s="455">
        <f t="shared" si="29"/>
        <v>0</v>
      </c>
      <c r="M248" s="455">
        <f>'Sch4-Cost Savings by ECM'!W248</f>
        <v>0</v>
      </c>
      <c r="N248"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8" s="455">
        <f t="shared" si="30"/>
        <v>0</v>
      </c>
      <c r="P248" s="457">
        <f t="shared" si="27"/>
        <v>0</v>
      </c>
      <c r="Q248" s="455">
        <f>'Sch4-Cost Savings by ECM'!AA248</f>
        <v>0</v>
      </c>
      <c r="R248" s="455">
        <f t="shared" si="33"/>
        <v>0</v>
      </c>
      <c r="S248" s="455">
        <f t="shared" si="34"/>
        <v>0</v>
      </c>
      <c r="T248" s="455">
        <f t="shared" si="31"/>
        <v>0</v>
      </c>
    </row>
    <row r="249" spans="1:20" ht="17" thickBot="1">
      <c r="A249" s="75" t="str">
        <f>IF('Sch2a-Imp Price by ECM'!B250="","",'Sch2a-Imp Price by ECM'!B250)</f>
        <v/>
      </c>
      <c r="B249" s="174" t="str">
        <f>IF('Sch2a-Imp Price by ECM'!D250="","",'Sch2a-Imp Price by ECM'!D250)</f>
        <v/>
      </c>
      <c r="C249" s="458" t="s">
        <v>431</v>
      </c>
      <c r="D249" s="454">
        <f>'Sch4-Cost Savings by ECM'!O249</f>
        <v>0</v>
      </c>
      <c r="E249" s="454">
        <f>VLOOKUP(C249,'eGRID subregion name'!$A$2:$N$30,8,0)</f>
        <v>189.83531623683197</v>
      </c>
      <c r="F249" s="454">
        <f t="shared" si="32"/>
        <v>0</v>
      </c>
      <c r="G249" s="455">
        <f>'Sch4-Cost Savings by ECM'!S249</f>
        <v>0</v>
      </c>
      <c r="H249" s="455">
        <f>VLOOKUP("Natural Gas", 'GHG Emissions'!$D$2:$M$66,4,FALSE)+VLOOKUP("Natural Gas", 'GHG Emissions'!$D$2:$M$66,6,FALSE)*'eGRID subregion name'!$P$3+VLOOKUP("Natural Gas", 'GHG Emissions'!$D$2:$M$66,8,FALSE)*'eGRID subregion name'!$P$4</f>
        <v>53.114800000000002</v>
      </c>
      <c r="I249" s="455">
        <f t="shared" si="28"/>
        <v>0</v>
      </c>
      <c r="J249" s="455">
        <f>'Sch4-Cost Savings by ECM'!U249</f>
        <v>0</v>
      </c>
      <c r="K249"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49" s="455">
        <f t="shared" si="29"/>
        <v>0</v>
      </c>
      <c r="M249" s="455">
        <f>'Sch4-Cost Savings by ECM'!W249</f>
        <v>0</v>
      </c>
      <c r="N249"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49" s="455">
        <f t="shared" si="30"/>
        <v>0</v>
      </c>
      <c r="P249" s="457">
        <f t="shared" si="27"/>
        <v>0</v>
      </c>
      <c r="Q249" s="455">
        <f>'Sch4-Cost Savings by ECM'!AA249</f>
        <v>0</v>
      </c>
      <c r="R249" s="455">
        <f t="shared" si="33"/>
        <v>0</v>
      </c>
      <c r="S249" s="455">
        <f t="shared" si="34"/>
        <v>0</v>
      </c>
      <c r="T249" s="455">
        <f t="shared" si="31"/>
        <v>0</v>
      </c>
    </row>
    <row r="250" spans="1:20" ht="17" thickBot="1">
      <c r="A250" s="75" t="str">
        <f>IF('Sch2a-Imp Price by ECM'!B251="","",'Sch2a-Imp Price by ECM'!B251)</f>
        <v/>
      </c>
      <c r="B250" s="174" t="str">
        <f>IF('Sch2a-Imp Price by ECM'!D251="","",'Sch2a-Imp Price by ECM'!D251)</f>
        <v/>
      </c>
      <c r="C250" s="458" t="s">
        <v>431</v>
      </c>
      <c r="D250" s="454">
        <f>'Sch4-Cost Savings by ECM'!O250</f>
        <v>0</v>
      </c>
      <c r="E250" s="454">
        <f>VLOOKUP(C250,'eGRID subregion name'!$A$2:$N$30,8,0)</f>
        <v>189.83531623683197</v>
      </c>
      <c r="F250" s="454">
        <f t="shared" si="32"/>
        <v>0</v>
      </c>
      <c r="G250" s="455">
        <f>'Sch4-Cost Savings by ECM'!S250</f>
        <v>0</v>
      </c>
      <c r="H250" s="455">
        <f>VLOOKUP("Natural Gas", 'GHG Emissions'!$D$2:$M$66,4,FALSE)+VLOOKUP("Natural Gas", 'GHG Emissions'!$D$2:$M$66,6,FALSE)*'eGRID subregion name'!$P$3+VLOOKUP("Natural Gas", 'GHG Emissions'!$D$2:$M$66,8,FALSE)*'eGRID subregion name'!$P$4</f>
        <v>53.114800000000002</v>
      </c>
      <c r="I250" s="455">
        <f t="shared" si="28"/>
        <v>0</v>
      </c>
      <c r="J250" s="455">
        <f>'Sch4-Cost Savings by ECM'!U250</f>
        <v>0</v>
      </c>
      <c r="K250"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0" s="455">
        <f t="shared" si="29"/>
        <v>0</v>
      </c>
      <c r="M250" s="455">
        <f>'Sch4-Cost Savings by ECM'!W250</f>
        <v>0</v>
      </c>
      <c r="N250"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0" s="455">
        <f t="shared" si="30"/>
        <v>0</v>
      </c>
      <c r="P250" s="457">
        <f t="shared" si="27"/>
        <v>0</v>
      </c>
      <c r="Q250" s="455">
        <f>'Sch4-Cost Savings by ECM'!AA250</f>
        <v>0</v>
      </c>
      <c r="R250" s="455">
        <f t="shared" si="33"/>
        <v>0</v>
      </c>
      <c r="S250" s="455">
        <f t="shared" si="34"/>
        <v>0</v>
      </c>
      <c r="T250" s="455">
        <f t="shared" si="31"/>
        <v>0</v>
      </c>
    </row>
    <row r="251" spans="1:20" ht="17" thickBot="1">
      <c r="A251" s="75" t="str">
        <f>IF('Sch2a-Imp Price by ECM'!B252="","",'Sch2a-Imp Price by ECM'!B252)</f>
        <v/>
      </c>
      <c r="B251" s="174" t="str">
        <f>IF('Sch2a-Imp Price by ECM'!D252="","",'Sch2a-Imp Price by ECM'!D252)</f>
        <v/>
      </c>
      <c r="C251" s="458" t="s">
        <v>431</v>
      </c>
      <c r="D251" s="454">
        <f>'Sch4-Cost Savings by ECM'!O251</f>
        <v>0</v>
      </c>
      <c r="E251" s="454">
        <f>VLOOKUP(C251,'eGRID subregion name'!$A$2:$N$30,8,0)</f>
        <v>189.83531623683197</v>
      </c>
      <c r="F251" s="454">
        <f t="shared" si="32"/>
        <v>0</v>
      </c>
      <c r="G251" s="455">
        <f>'Sch4-Cost Savings by ECM'!S251</f>
        <v>0</v>
      </c>
      <c r="H251" s="455">
        <f>VLOOKUP("Natural Gas", 'GHG Emissions'!$D$2:$M$66,4,FALSE)+VLOOKUP("Natural Gas", 'GHG Emissions'!$D$2:$M$66,6,FALSE)*'eGRID subregion name'!$P$3+VLOOKUP("Natural Gas", 'GHG Emissions'!$D$2:$M$66,8,FALSE)*'eGRID subregion name'!$P$4</f>
        <v>53.114800000000002</v>
      </c>
      <c r="I251" s="455">
        <f t="shared" si="28"/>
        <v>0</v>
      </c>
      <c r="J251" s="455">
        <f>'Sch4-Cost Savings by ECM'!U251</f>
        <v>0</v>
      </c>
      <c r="K251"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1" s="455">
        <f t="shared" si="29"/>
        <v>0</v>
      </c>
      <c r="M251" s="455">
        <f>'Sch4-Cost Savings by ECM'!W251</f>
        <v>0</v>
      </c>
      <c r="N251"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1" s="455">
        <f t="shared" si="30"/>
        <v>0</v>
      </c>
      <c r="P251" s="457">
        <f t="shared" si="27"/>
        <v>0</v>
      </c>
      <c r="Q251" s="455">
        <f>'Sch4-Cost Savings by ECM'!AA251</f>
        <v>0</v>
      </c>
      <c r="R251" s="455">
        <f t="shared" si="33"/>
        <v>0</v>
      </c>
      <c r="S251" s="455">
        <f t="shared" si="34"/>
        <v>0</v>
      </c>
      <c r="T251" s="455">
        <f t="shared" si="31"/>
        <v>0</v>
      </c>
    </row>
    <row r="252" spans="1:20" ht="17" thickBot="1">
      <c r="A252" s="75" t="str">
        <f>IF('Sch2a-Imp Price by ECM'!B253="","",'Sch2a-Imp Price by ECM'!B253)</f>
        <v/>
      </c>
      <c r="B252" s="174" t="str">
        <f>IF('Sch2a-Imp Price by ECM'!D253="","",'Sch2a-Imp Price by ECM'!D253)</f>
        <v/>
      </c>
      <c r="C252" s="458" t="s">
        <v>431</v>
      </c>
      <c r="D252" s="454">
        <f>'Sch4-Cost Savings by ECM'!O252</f>
        <v>0</v>
      </c>
      <c r="E252" s="454">
        <f>VLOOKUP(C252,'eGRID subregion name'!$A$2:$N$30,8,0)</f>
        <v>189.83531623683197</v>
      </c>
      <c r="F252" s="454">
        <f t="shared" si="32"/>
        <v>0</v>
      </c>
      <c r="G252" s="455">
        <f>'Sch4-Cost Savings by ECM'!S252</f>
        <v>0</v>
      </c>
      <c r="H252" s="455">
        <f>VLOOKUP("Natural Gas", 'GHG Emissions'!$D$2:$M$66,4,FALSE)+VLOOKUP("Natural Gas", 'GHG Emissions'!$D$2:$M$66,6,FALSE)*'eGRID subregion name'!$P$3+VLOOKUP("Natural Gas", 'GHG Emissions'!$D$2:$M$66,8,FALSE)*'eGRID subregion name'!$P$4</f>
        <v>53.114800000000002</v>
      </c>
      <c r="I252" s="455">
        <f t="shared" si="28"/>
        <v>0</v>
      </c>
      <c r="J252" s="455">
        <f>'Sch4-Cost Savings by ECM'!U252</f>
        <v>0</v>
      </c>
      <c r="K252"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2" s="455">
        <f t="shared" si="29"/>
        <v>0</v>
      </c>
      <c r="M252" s="455">
        <f>'Sch4-Cost Savings by ECM'!W252</f>
        <v>0</v>
      </c>
      <c r="N252"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2" s="455">
        <f t="shared" si="30"/>
        <v>0</v>
      </c>
      <c r="P252" s="457">
        <f t="shared" si="27"/>
        <v>0</v>
      </c>
      <c r="Q252" s="455">
        <f>'Sch4-Cost Savings by ECM'!AA252</f>
        <v>0</v>
      </c>
      <c r="R252" s="455">
        <f t="shared" si="33"/>
        <v>0</v>
      </c>
      <c r="S252" s="455">
        <f t="shared" si="34"/>
        <v>0</v>
      </c>
      <c r="T252" s="455">
        <f t="shared" si="31"/>
        <v>0</v>
      </c>
    </row>
    <row r="253" spans="1:20" ht="17" thickBot="1">
      <c r="A253" s="75" t="str">
        <f>IF('Sch2a-Imp Price by ECM'!B254="","",'Sch2a-Imp Price by ECM'!B254)</f>
        <v/>
      </c>
      <c r="B253" s="174" t="str">
        <f>IF('Sch2a-Imp Price by ECM'!D254="","",'Sch2a-Imp Price by ECM'!D254)</f>
        <v/>
      </c>
      <c r="C253" s="458" t="s">
        <v>431</v>
      </c>
      <c r="D253" s="454">
        <f>'Sch4-Cost Savings by ECM'!O253</f>
        <v>0</v>
      </c>
      <c r="E253" s="454">
        <f>VLOOKUP(C253,'eGRID subregion name'!$A$2:$N$30,8,0)</f>
        <v>189.83531623683197</v>
      </c>
      <c r="F253" s="454">
        <f t="shared" si="32"/>
        <v>0</v>
      </c>
      <c r="G253" s="455">
        <f>'Sch4-Cost Savings by ECM'!S253</f>
        <v>0</v>
      </c>
      <c r="H253" s="455">
        <f>VLOOKUP("Natural Gas", 'GHG Emissions'!$D$2:$M$66,4,FALSE)+VLOOKUP("Natural Gas", 'GHG Emissions'!$D$2:$M$66,6,FALSE)*'eGRID subregion name'!$P$3+VLOOKUP("Natural Gas", 'GHG Emissions'!$D$2:$M$66,8,FALSE)*'eGRID subregion name'!$P$4</f>
        <v>53.114800000000002</v>
      </c>
      <c r="I253" s="455">
        <f t="shared" si="28"/>
        <v>0</v>
      </c>
      <c r="J253" s="455">
        <f>'Sch4-Cost Savings by ECM'!U253</f>
        <v>0</v>
      </c>
      <c r="K253"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3" s="455">
        <f t="shared" si="29"/>
        <v>0</v>
      </c>
      <c r="M253" s="455">
        <f>'Sch4-Cost Savings by ECM'!W253</f>
        <v>0</v>
      </c>
      <c r="N253"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3" s="455">
        <f t="shared" si="30"/>
        <v>0</v>
      </c>
      <c r="P253" s="457">
        <f t="shared" si="27"/>
        <v>0</v>
      </c>
      <c r="Q253" s="455">
        <f>'Sch4-Cost Savings by ECM'!AA253</f>
        <v>0</v>
      </c>
      <c r="R253" s="455">
        <f t="shared" si="33"/>
        <v>0</v>
      </c>
      <c r="S253" s="455">
        <f t="shared" si="34"/>
        <v>0</v>
      </c>
      <c r="T253" s="455">
        <f t="shared" si="31"/>
        <v>0</v>
      </c>
    </row>
    <row r="254" spans="1:20" ht="17" thickBot="1">
      <c r="A254" s="75" t="str">
        <f>IF('Sch2a-Imp Price by ECM'!B255="","",'Sch2a-Imp Price by ECM'!B255)</f>
        <v/>
      </c>
      <c r="B254" s="174" t="str">
        <f>IF('Sch2a-Imp Price by ECM'!D255="","",'Sch2a-Imp Price by ECM'!D255)</f>
        <v/>
      </c>
      <c r="C254" s="458" t="s">
        <v>431</v>
      </c>
      <c r="D254" s="454">
        <f>'Sch4-Cost Savings by ECM'!O254</f>
        <v>0</v>
      </c>
      <c r="E254" s="454">
        <f>VLOOKUP(C254,'eGRID subregion name'!$A$2:$N$30,8,0)</f>
        <v>189.83531623683197</v>
      </c>
      <c r="F254" s="454">
        <f t="shared" si="32"/>
        <v>0</v>
      </c>
      <c r="G254" s="455">
        <f>'Sch4-Cost Savings by ECM'!S254</f>
        <v>0</v>
      </c>
      <c r="H254" s="455">
        <f>VLOOKUP("Natural Gas", 'GHG Emissions'!$D$2:$M$66,4,FALSE)+VLOOKUP("Natural Gas", 'GHG Emissions'!$D$2:$M$66,6,FALSE)*'eGRID subregion name'!$P$3+VLOOKUP("Natural Gas", 'GHG Emissions'!$D$2:$M$66,8,FALSE)*'eGRID subregion name'!$P$4</f>
        <v>53.114800000000002</v>
      </c>
      <c r="I254" s="455">
        <f t="shared" si="28"/>
        <v>0</v>
      </c>
      <c r="J254" s="455">
        <f>'Sch4-Cost Savings by ECM'!U254</f>
        <v>0</v>
      </c>
      <c r="K254"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4" s="455">
        <f t="shared" si="29"/>
        <v>0</v>
      </c>
      <c r="M254" s="455">
        <f>'Sch4-Cost Savings by ECM'!W254</f>
        <v>0</v>
      </c>
      <c r="N254"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4" s="455">
        <f t="shared" si="30"/>
        <v>0</v>
      </c>
      <c r="P254" s="457">
        <f t="shared" si="27"/>
        <v>0</v>
      </c>
      <c r="Q254" s="455">
        <f>'Sch4-Cost Savings by ECM'!AA254</f>
        <v>0</v>
      </c>
      <c r="R254" s="455">
        <f t="shared" si="33"/>
        <v>0</v>
      </c>
      <c r="S254" s="455">
        <f t="shared" si="34"/>
        <v>0</v>
      </c>
      <c r="T254" s="455">
        <f t="shared" si="31"/>
        <v>0</v>
      </c>
    </row>
    <row r="255" spans="1:20" ht="17" thickBot="1">
      <c r="A255" s="75" t="str">
        <f>IF('Sch2a-Imp Price by ECM'!B256="","",'Sch2a-Imp Price by ECM'!B256)</f>
        <v/>
      </c>
      <c r="B255" s="174" t="str">
        <f>IF('Sch2a-Imp Price by ECM'!D256="","",'Sch2a-Imp Price by ECM'!D256)</f>
        <v/>
      </c>
      <c r="C255" s="458" t="s">
        <v>431</v>
      </c>
      <c r="D255" s="454">
        <f>'Sch4-Cost Savings by ECM'!O255</f>
        <v>0</v>
      </c>
      <c r="E255" s="454">
        <f>VLOOKUP(C255,'eGRID subregion name'!$A$2:$N$30,8,0)</f>
        <v>189.83531623683197</v>
      </c>
      <c r="F255" s="454">
        <f t="shared" si="32"/>
        <v>0</v>
      </c>
      <c r="G255" s="455">
        <f>'Sch4-Cost Savings by ECM'!S255</f>
        <v>0</v>
      </c>
      <c r="H255" s="455">
        <f>VLOOKUP("Natural Gas", 'GHG Emissions'!$D$2:$M$66,4,FALSE)+VLOOKUP("Natural Gas", 'GHG Emissions'!$D$2:$M$66,6,FALSE)*'eGRID subregion name'!$P$3+VLOOKUP("Natural Gas", 'GHG Emissions'!$D$2:$M$66,8,FALSE)*'eGRID subregion name'!$P$4</f>
        <v>53.114800000000002</v>
      </c>
      <c r="I255" s="455">
        <f t="shared" si="28"/>
        <v>0</v>
      </c>
      <c r="J255" s="455">
        <f>'Sch4-Cost Savings by ECM'!U255</f>
        <v>0</v>
      </c>
      <c r="K255"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5" s="455">
        <f t="shared" si="29"/>
        <v>0</v>
      </c>
      <c r="M255" s="455">
        <f>'Sch4-Cost Savings by ECM'!W255</f>
        <v>0</v>
      </c>
      <c r="N255"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5" s="455">
        <f t="shared" si="30"/>
        <v>0</v>
      </c>
      <c r="P255" s="457">
        <f t="shared" si="27"/>
        <v>0</v>
      </c>
      <c r="Q255" s="455">
        <f>'Sch4-Cost Savings by ECM'!AA255</f>
        <v>0</v>
      </c>
      <c r="R255" s="455">
        <f t="shared" si="33"/>
        <v>0</v>
      </c>
      <c r="S255" s="455">
        <f t="shared" si="34"/>
        <v>0</v>
      </c>
      <c r="T255" s="455">
        <f t="shared" si="31"/>
        <v>0</v>
      </c>
    </row>
    <row r="256" spans="1:20" ht="17" thickBot="1">
      <c r="A256" s="75" t="str">
        <f>IF('Sch2a-Imp Price by ECM'!B257="","",'Sch2a-Imp Price by ECM'!B257)</f>
        <v/>
      </c>
      <c r="B256" s="174" t="str">
        <f>IF('Sch2a-Imp Price by ECM'!D257="","",'Sch2a-Imp Price by ECM'!D257)</f>
        <v/>
      </c>
      <c r="C256" s="458" t="s">
        <v>431</v>
      </c>
      <c r="D256" s="454">
        <f>'Sch4-Cost Savings by ECM'!O256</f>
        <v>0</v>
      </c>
      <c r="E256" s="454">
        <f>VLOOKUP(C256,'eGRID subregion name'!$A$2:$N$30,8,0)</f>
        <v>189.83531623683197</v>
      </c>
      <c r="F256" s="454">
        <f t="shared" si="32"/>
        <v>0</v>
      </c>
      <c r="G256" s="455">
        <f>'Sch4-Cost Savings by ECM'!S256</f>
        <v>0</v>
      </c>
      <c r="H256" s="455">
        <f>VLOOKUP("Natural Gas", 'GHG Emissions'!$D$2:$M$66,4,FALSE)+VLOOKUP("Natural Gas", 'GHG Emissions'!$D$2:$M$66,6,FALSE)*'eGRID subregion name'!$P$3+VLOOKUP("Natural Gas", 'GHG Emissions'!$D$2:$M$66,8,FALSE)*'eGRID subregion name'!$P$4</f>
        <v>53.114800000000002</v>
      </c>
      <c r="I256" s="455">
        <f t="shared" si="28"/>
        <v>0</v>
      </c>
      <c r="J256" s="455">
        <f>'Sch4-Cost Savings by ECM'!U256</f>
        <v>0</v>
      </c>
      <c r="K256"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6" s="455">
        <f t="shared" si="29"/>
        <v>0</v>
      </c>
      <c r="M256" s="455">
        <f>'Sch4-Cost Savings by ECM'!W256</f>
        <v>0</v>
      </c>
      <c r="N256"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6" s="455">
        <f t="shared" si="30"/>
        <v>0</v>
      </c>
      <c r="P256" s="457">
        <f t="shared" si="27"/>
        <v>0</v>
      </c>
      <c r="Q256" s="455">
        <f>'Sch4-Cost Savings by ECM'!AA256</f>
        <v>0</v>
      </c>
      <c r="R256" s="455">
        <f t="shared" si="33"/>
        <v>0</v>
      </c>
      <c r="S256" s="455">
        <f t="shared" si="34"/>
        <v>0</v>
      </c>
      <c r="T256" s="455">
        <f t="shared" si="31"/>
        <v>0</v>
      </c>
    </row>
    <row r="257" spans="1:20" ht="17" thickBot="1">
      <c r="A257" s="75" t="str">
        <f>IF('Sch2a-Imp Price by ECM'!B258="","",'Sch2a-Imp Price by ECM'!B258)</f>
        <v/>
      </c>
      <c r="B257" s="174" t="str">
        <f>IF('Sch2a-Imp Price by ECM'!D258="","",'Sch2a-Imp Price by ECM'!D258)</f>
        <v/>
      </c>
      <c r="C257" s="458" t="s">
        <v>431</v>
      </c>
      <c r="D257" s="454">
        <f>'Sch4-Cost Savings by ECM'!O257</f>
        <v>0</v>
      </c>
      <c r="E257" s="454">
        <f>VLOOKUP(C257,'eGRID subregion name'!$A$2:$N$30,8,0)</f>
        <v>189.83531623683197</v>
      </c>
      <c r="F257" s="454">
        <f t="shared" si="32"/>
        <v>0</v>
      </c>
      <c r="G257" s="455">
        <f>'Sch4-Cost Savings by ECM'!S257</f>
        <v>0</v>
      </c>
      <c r="H257" s="455">
        <f>VLOOKUP("Natural Gas", 'GHG Emissions'!$D$2:$M$66,4,FALSE)+VLOOKUP("Natural Gas", 'GHG Emissions'!$D$2:$M$66,6,FALSE)*'eGRID subregion name'!$P$3+VLOOKUP("Natural Gas", 'GHG Emissions'!$D$2:$M$66,8,FALSE)*'eGRID subregion name'!$P$4</f>
        <v>53.114800000000002</v>
      </c>
      <c r="I257" s="455">
        <f t="shared" si="28"/>
        <v>0</v>
      </c>
      <c r="J257" s="455">
        <f>'Sch4-Cost Savings by ECM'!U257</f>
        <v>0</v>
      </c>
      <c r="K257" s="427">
        <f>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Emissions'!$D$2:$M$66,4,FALSE)+(VLOOKUP(_xlfn.SWITCH($J$5,"Other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Emissions'!$D$2:$M$66,6,FALSE)*'eGRID subregion name'!$P$3)+(VLOOKUP(_xlfn.SWITCH($J$5,"Other Savings Type 1: Heating Oil","Distillate Fuel Oil No. 2","Other Savings Type 1: Propane","Propane","Other Savings Type 1: Diesel","Distillate Fuel Oil No. 2","Other Savings Type 1: Gasoline","Motor gasoline","Other Savings Type 1: Jet Fuel","Kerosene-type jet fuel","Other Savings Type 1: Purchased Steam","Purchased Steam","Other Savings Type 1: Chilled Water", "Chilled Water","Other Savings Type 1: Other", "Other","Other Savings Type 1: Coal", "Coal - Anthracite","Other Savings Type 1: Hot Water", "Hot Water"),'GHG Emissions'!$D$2:$M$66,8,FALSE)*'eGRID subregion name'!$P$4)</f>
        <v>74.213799999999992</v>
      </c>
      <c r="L257" s="455">
        <f t="shared" si="29"/>
        <v>0</v>
      </c>
      <c r="M257" s="455">
        <f>'Sch4-Cost Savings by ECM'!W257</f>
        <v>0</v>
      </c>
      <c r="N257" s="427">
        <f>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Emissions'!$D$2:$M$66,4,FALSE)+(VLOOKUP(_xlfn.SWITCH($M$5,"Other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Emissions'!$D$2:$M$66,6,FALSE)*'eGRID subregion name'!$P$3)+(VLOOKUP(_xlfn.SWITCH($M$5,"Other Savings Type 2: Heating Oil","Distillate Fuel Oil No. 2","Other Savings Type 2: Propane","Propane","Other Savings Type 2: Diesel","Distillate Fuel Oil No. 2","Other Savings Type 2: Gasoline","Motor gasoline","Other Savings Type 2: Jet Fuel","Kerosene-type jet fuel","Other Savings Type 2: Purchased Steam","Purchased Steam","Other Savings Type 2: Chilled Water", "Chilled Water","Other Savings Type 2: Other", "Other","Other Savings Type 2: Coal", "Coal - Anthracite","Other Savings Type 2: Hot Water", "Hot Water"),'GHG Emissions'!$D$2:$M$66,8,FALSE)*'eGRID subregion name'!$P$4)</f>
        <v>0</v>
      </c>
      <c r="O257" s="455">
        <f t="shared" si="30"/>
        <v>0</v>
      </c>
      <c r="P257" s="457">
        <f t="shared" si="27"/>
        <v>0</v>
      </c>
      <c r="Q257" s="455">
        <f>'Sch4-Cost Savings by ECM'!AA257</f>
        <v>0</v>
      </c>
      <c r="R257" s="455">
        <f t="shared" si="33"/>
        <v>0</v>
      </c>
      <c r="S257" s="455">
        <f t="shared" si="34"/>
        <v>0</v>
      </c>
      <c r="T257" s="455">
        <f t="shared" si="31"/>
        <v>0</v>
      </c>
    </row>
    <row r="258" spans="1:20" ht="17" thickBot="1">
      <c r="A258" s="725" t="s">
        <v>66</v>
      </c>
      <c r="B258" s="726"/>
      <c r="C258" s="726"/>
      <c r="D258" s="456">
        <f>SUMIF('Sch2a-Imp Price by ECM'!$C$9:$C$258,"&lt;&gt;Yes",D8:D257)</f>
        <v>1952243</v>
      </c>
      <c r="E258" s="456"/>
      <c r="F258" s="456">
        <f>SUM(F8:F257)</f>
        <v>1101996.0909712075</v>
      </c>
      <c r="G258" s="456">
        <f>SUMIF('Sch2a-Imp Price by ECM'!$C$9:$C$258,"&lt;&gt;Yes",G8:G257)</f>
        <v>5681</v>
      </c>
      <c r="H258" s="456"/>
      <c r="I258" s="456">
        <f>SUM(I8:I257)</f>
        <v>301745.17879999999</v>
      </c>
      <c r="J258" s="456">
        <f>SUMIF('Sch2a-Imp Price by ECM'!$C$9:$C$258,"&lt;&gt;Yes",J8:J257)</f>
        <v>31949.000000000004</v>
      </c>
      <c r="K258" s="428"/>
      <c r="L258" s="456">
        <f>SUM(L8:L257)</f>
        <v>2371056.6962000001</v>
      </c>
      <c r="M258" s="456">
        <f>SUMIF('Sch2a-Imp Price by ECM'!$C$9:$C$258,"&lt;&gt;Yes",M8:M257)</f>
        <v>0</v>
      </c>
      <c r="N258" s="428"/>
      <c r="O258" s="456">
        <f>SUM(O8:O257)</f>
        <v>0</v>
      </c>
      <c r="P258" s="456">
        <f>SUMIF('Sch2a-Imp Price by ECM'!$C$9:$C$258,"&lt;&gt;Yes",P8:P257)</f>
        <v>44291.05311600001</v>
      </c>
      <c r="Q258" s="456">
        <f>SUMIF('Sch2a-Imp Price by ECM'!$C$9:$C$258,"&lt;&gt;Yes",Q8:Q257)</f>
        <v>22096</v>
      </c>
      <c r="R258" s="456">
        <f t="shared" ref="R258:S258" si="35">SUM(R8:R257)</f>
        <v>2672801.875</v>
      </c>
      <c r="S258" s="456">
        <f t="shared" si="35"/>
        <v>1101996.0909712075</v>
      </c>
      <c r="T258" s="456">
        <f>SUM(T8:T257)</f>
        <v>3774797.9659712077</v>
      </c>
    </row>
    <row r="259" spans="1:20" ht="17" thickBot="1">
      <c r="A259" s="429"/>
      <c r="B259" s="430"/>
      <c r="C259" s="430"/>
      <c r="D259" s="431"/>
      <c r="E259" s="431"/>
      <c r="F259" s="431"/>
      <c r="G259" s="432"/>
      <c r="H259" s="432"/>
      <c r="I259" s="432"/>
      <c r="J259" s="432"/>
      <c r="K259" s="432"/>
      <c r="L259" s="432"/>
      <c r="M259" s="433"/>
      <c r="N259" s="433"/>
      <c r="O259" s="433"/>
      <c r="P259" s="433"/>
      <c r="Q259" s="433"/>
      <c r="R259" s="433"/>
      <c r="S259" s="433"/>
      <c r="T259" s="433"/>
    </row>
    <row r="260" spans="1:20">
      <c r="A260" s="739" t="s">
        <v>15</v>
      </c>
      <c r="B260" s="740"/>
      <c r="C260" s="740"/>
      <c r="D260" s="740"/>
      <c r="E260" s="740"/>
      <c r="F260" s="740"/>
      <c r="G260" s="740"/>
      <c r="H260" s="740"/>
      <c r="I260" s="740"/>
      <c r="J260" s="740"/>
      <c r="K260" s="740"/>
      <c r="L260" s="740"/>
      <c r="M260" s="740"/>
      <c r="N260" s="740"/>
      <c r="O260" s="740"/>
      <c r="P260" s="740"/>
      <c r="Q260" s="740"/>
      <c r="R260" s="740"/>
      <c r="S260" s="740"/>
      <c r="T260" s="554"/>
    </row>
    <row r="261" spans="1:20">
      <c r="A261" s="743" t="s">
        <v>432</v>
      </c>
      <c r="B261" s="720"/>
      <c r="C261" s="720"/>
      <c r="D261" s="720"/>
      <c r="E261" s="720"/>
      <c r="F261" s="720"/>
      <c r="G261" s="720"/>
      <c r="H261" s="720"/>
      <c r="I261" s="720"/>
      <c r="J261" s="720"/>
      <c r="K261" s="720"/>
      <c r="L261" s="720"/>
      <c r="M261" s="720"/>
      <c r="N261" s="720"/>
      <c r="O261" s="720"/>
      <c r="P261" s="720"/>
      <c r="Q261" s="720"/>
      <c r="R261" s="720"/>
      <c r="S261" s="720"/>
      <c r="T261" s="583"/>
    </row>
    <row r="262" spans="1:20" ht="17.25" customHeight="1">
      <c r="A262" s="743" t="s">
        <v>383</v>
      </c>
      <c r="B262" s="720"/>
      <c r="C262" s="720"/>
      <c r="D262" s="720"/>
      <c r="E262" s="720"/>
      <c r="F262" s="720"/>
      <c r="G262" s="720"/>
      <c r="H262" s="720"/>
      <c r="I262" s="720"/>
      <c r="J262" s="720"/>
      <c r="K262" s="720"/>
      <c r="L262" s="720"/>
      <c r="M262" s="720"/>
      <c r="N262" s="720"/>
      <c r="O262" s="720"/>
      <c r="P262" s="720"/>
      <c r="Q262" s="720"/>
      <c r="R262" s="720"/>
      <c r="S262" s="720"/>
      <c r="T262" s="583"/>
    </row>
    <row r="263" spans="1:20" ht="17.25" customHeight="1">
      <c r="A263" s="743" t="s">
        <v>320</v>
      </c>
      <c r="B263" s="720"/>
      <c r="C263" s="720"/>
      <c r="D263" s="720"/>
      <c r="E263" s="720"/>
      <c r="F263" s="720"/>
      <c r="G263" s="720"/>
      <c r="H263" s="720"/>
      <c r="I263" s="720"/>
      <c r="J263" s="720"/>
      <c r="K263" s="720"/>
      <c r="L263" s="720"/>
      <c r="M263" s="720"/>
      <c r="N263" s="720"/>
      <c r="O263" s="720"/>
      <c r="P263" s="720"/>
      <c r="Q263" s="720"/>
      <c r="R263" s="720"/>
      <c r="S263" s="720"/>
      <c r="T263" s="583"/>
    </row>
    <row r="264" spans="1:20">
      <c r="A264" s="738" t="s">
        <v>384</v>
      </c>
      <c r="B264" s="723"/>
      <c r="C264" s="723"/>
      <c r="D264" s="723"/>
      <c r="E264" s="723"/>
      <c r="F264" s="723"/>
      <c r="G264" s="723"/>
      <c r="H264" s="723"/>
      <c r="I264" s="723"/>
      <c r="J264" s="723"/>
      <c r="K264" s="723"/>
      <c r="L264" s="723"/>
      <c r="M264" s="723"/>
      <c r="N264" s="723"/>
      <c r="O264" s="723"/>
      <c r="P264" s="723"/>
      <c r="Q264" s="723"/>
      <c r="R264" s="723"/>
      <c r="S264" s="723"/>
      <c r="T264" s="583"/>
    </row>
    <row r="265" spans="1:20">
      <c r="A265" s="738" t="s">
        <v>601</v>
      </c>
      <c r="B265" s="723"/>
      <c r="C265" s="723"/>
      <c r="D265" s="723"/>
      <c r="E265" s="723"/>
      <c r="F265" s="723"/>
      <c r="G265" s="723"/>
      <c r="H265" s="723"/>
      <c r="I265" s="723"/>
      <c r="J265" s="723"/>
      <c r="K265" s="723"/>
      <c r="L265" s="723"/>
      <c r="M265" s="723"/>
      <c r="N265" s="723"/>
      <c r="O265" s="723"/>
      <c r="P265" s="723"/>
      <c r="Q265" s="723"/>
      <c r="R265" s="723"/>
      <c r="S265" s="723"/>
      <c r="T265" s="583"/>
    </row>
    <row r="266" spans="1:20" ht="17" thickBot="1">
      <c r="A266" s="743" t="s">
        <v>602</v>
      </c>
      <c r="B266" s="720"/>
      <c r="C266" s="720"/>
      <c r="D266" s="720"/>
      <c r="E266" s="720"/>
      <c r="F266" s="720"/>
      <c r="G266" s="720"/>
      <c r="H266" s="720"/>
      <c r="I266" s="720"/>
      <c r="J266" s="720"/>
      <c r="K266" s="720"/>
      <c r="L266" s="720"/>
      <c r="M266" s="720"/>
      <c r="N266" s="720"/>
      <c r="O266" s="720"/>
      <c r="P266" s="720"/>
      <c r="Q266" s="720"/>
      <c r="R266" s="720"/>
      <c r="S266" s="720"/>
      <c r="T266" s="721"/>
    </row>
    <row r="267" spans="1:20" ht="17" customHeight="1">
      <c r="A267" s="739" t="s">
        <v>173</v>
      </c>
      <c r="B267" s="740"/>
      <c r="C267" s="740"/>
      <c r="D267" s="740"/>
      <c r="E267" s="740"/>
      <c r="F267" s="740"/>
      <c r="G267" s="740"/>
      <c r="H267" s="740"/>
      <c r="I267" s="740"/>
      <c r="J267" s="740"/>
      <c r="K267" s="740"/>
      <c r="L267" s="740"/>
      <c r="M267" s="740"/>
      <c r="N267" s="740"/>
      <c r="O267" s="740"/>
      <c r="P267" s="740"/>
      <c r="Q267" s="740"/>
      <c r="R267" s="740"/>
      <c r="S267" s="740"/>
      <c r="T267" s="554"/>
    </row>
    <row r="268" spans="1:20" ht="70" customHeight="1" thickBot="1">
      <c r="A268" s="741"/>
      <c r="B268" s="742"/>
      <c r="C268" s="742"/>
      <c r="D268" s="742"/>
      <c r="E268" s="742"/>
      <c r="F268" s="742"/>
      <c r="G268" s="742"/>
      <c r="H268" s="742"/>
      <c r="I268" s="742"/>
      <c r="J268" s="742"/>
      <c r="K268" s="742"/>
      <c r="L268" s="742"/>
      <c r="M268" s="742"/>
      <c r="N268" s="742"/>
      <c r="O268" s="742"/>
      <c r="P268" s="742"/>
      <c r="Q268" s="742"/>
      <c r="R268" s="742"/>
      <c r="S268" s="742"/>
      <c r="T268" s="594"/>
    </row>
    <row r="269" spans="1:20">
      <c r="A269" s="4" t="str">
        <f>'Sch3-Perf Period Cash Flow'!A32</f>
        <v>4.1.5.c</v>
      </c>
    </row>
    <row r="270" spans="1:20">
      <c r="A270" s="4" t="str">
        <f>'Sch3-Perf Period Cash Flow'!A33</f>
        <v>04232024</v>
      </c>
    </row>
  </sheetData>
  <mergeCells count="16">
    <mergeCell ref="A1:Q1"/>
    <mergeCell ref="A2:Q2"/>
    <mergeCell ref="A4:C4"/>
    <mergeCell ref="A5:A6"/>
    <mergeCell ref="B5:B6"/>
    <mergeCell ref="C5:C6"/>
    <mergeCell ref="A265:T265"/>
    <mergeCell ref="A267:T267"/>
    <mergeCell ref="A268:T268"/>
    <mergeCell ref="A258:C258"/>
    <mergeCell ref="A260:T260"/>
    <mergeCell ref="A261:T261"/>
    <mergeCell ref="A262:T262"/>
    <mergeCell ref="A263:T263"/>
    <mergeCell ref="A264:T264"/>
    <mergeCell ref="A266:T266"/>
  </mergeCells>
  <dataValidations count="3">
    <dataValidation allowBlank="1" showInputMessage="1" showErrorMessage="1" error="Please enter a valid value" sqref="N8:O257 E8:E257 H8:H258 K8:L257" xr:uid="{637FEDF7-49F8-D342-86F2-D83DB348B165}"/>
    <dataValidation type="whole" allowBlank="1" showInputMessage="1" showErrorMessage="1" error="Please enter a valid value" sqref="M8:M257 D8:D257 J8:J257 F8:G257" xr:uid="{74A8C127-A440-9241-A65A-7C5D8A1FC4D9}">
      <formula1>-1000000000</formula1>
      <formula2>1000000000</formula2>
    </dataValidation>
    <dataValidation type="whole" allowBlank="1" showInputMessage="1" showErrorMessage="1" error="Please enter a valid value" sqref="Q8:Q257" xr:uid="{CB3CE255-803B-8C46-9C3F-AC8454C04AEC}">
      <formula1>-100000000000</formula1>
      <formula2>1000000000</formula2>
    </dataValidation>
  </dataValidations>
  <pageMargins left="0.75" right="0.75" top="1" bottom="1" header="0.5" footer="0.5"/>
  <pageSetup scale="24"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D3661A-BC98-6441-9DE7-CC0740D7E1B3}">
          <x14:formula1>
            <xm:f>'eGRID subregion name'!$A$2:$A$30</xm:f>
          </x14:formula1>
          <xm:sqref>C8:C257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N41"/>
  <sheetViews>
    <sheetView zoomScale="90" zoomScaleNormal="90" zoomScalePageLayoutView="75" workbookViewId="0">
      <selection sqref="A1:N1"/>
    </sheetView>
  </sheetViews>
  <sheetFormatPr baseColWidth="10" defaultColWidth="11" defaultRowHeight="16"/>
  <cols>
    <col min="1" max="1" width="18.5" style="4" customWidth="1"/>
    <col min="2" max="2" width="7.5" style="4" customWidth="1"/>
    <col min="3" max="3" width="15" style="4" customWidth="1"/>
    <col min="4" max="12" width="15" style="4" bestFit="1" customWidth="1"/>
    <col min="13" max="14" width="15.5" style="4" bestFit="1" customWidth="1"/>
    <col min="15" max="16384" width="11" style="4"/>
  </cols>
  <sheetData>
    <row r="1" spans="1:14" ht="20.25" customHeight="1">
      <c r="A1" s="757" t="s">
        <v>107</v>
      </c>
      <c r="B1" s="757"/>
      <c r="C1" s="757"/>
      <c r="D1" s="757"/>
      <c r="E1" s="757"/>
      <c r="F1" s="757"/>
      <c r="G1" s="757"/>
      <c r="H1" s="757"/>
      <c r="I1" s="757"/>
      <c r="J1" s="757"/>
      <c r="K1" s="757"/>
      <c r="L1" s="757"/>
      <c r="M1" s="757"/>
      <c r="N1" s="757"/>
    </row>
    <row r="2" spans="1:14" ht="21" customHeight="1" thickBot="1">
      <c r="A2" s="757" t="s">
        <v>119</v>
      </c>
      <c r="B2" s="757"/>
      <c r="C2" s="757"/>
      <c r="D2" s="757"/>
      <c r="E2" s="757"/>
      <c r="F2" s="757"/>
      <c r="G2" s="757"/>
      <c r="H2" s="757"/>
      <c r="I2" s="757"/>
      <c r="J2" s="757"/>
      <c r="K2" s="757"/>
      <c r="L2" s="757"/>
      <c r="M2" s="757"/>
      <c r="N2" s="757"/>
    </row>
    <row r="3" spans="1:14" ht="18" customHeight="1" thickBot="1">
      <c r="A3" s="758"/>
      <c r="B3" s="759"/>
      <c r="C3" s="759"/>
      <c r="D3" s="759"/>
      <c r="E3" s="759"/>
      <c r="F3" s="759"/>
      <c r="G3" s="759"/>
      <c r="H3" s="759"/>
      <c r="I3" s="759"/>
      <c r="J3" s="759"/>
      <c r="K3" s="759"/>
      <c r="L3" s="759"/>
      <c r="M3" s="759"/>
      <c r="N3" s="760"/>
    </row>
    <row r="4" spans="1:14" ht="48.75" customHeight="1" thickBot="1">
      <c r="A4" s="762" t="s">
        <v>130</v>
      </c>
      <c r="B4" s="763"/>
      <c r="C4" s="177">
        <v>1</v>
      </c>
      <c r="D4" s="177">
        <v>2</v>
      </c>
      <c r="E4" s="177">
        <v>3</v>
      </c>
      <c r="F4" s="177">
        <v>4</v>
      </c>
      <c r="G4" s="177">
        <v>5</v>
      </c>
      <c r="H4" s="177">
        <v>6</v>
      </c>
      <c r="I4" s="177">
        <v>7</v>
      </c>
      <c r="J4" s="177">
        <v>8</v>
      </c>
      <c r="K4" s="177">
        <v>9</v>
      </c>
      <c r="L4" s="177">
        <v>10</v>
      </c>
      <c r="M4" s="177">
        <v>11</v>
      </c>
      <c r="N4" s="177">
        <v>12</v>
      </c>
    </row>
    <row r="5" spans="1:14" ht="18" customHeight="1" thickBot="1">
      <c r="A5" s="764" t="s">
        <v>210</v>
      </c>
      <c r="B5" s="765"/>
      <c r="C5" s="178"/>
      <c r="D5" s="178"/>
      <c r="E5" s="178"/>
      <c r="F5" s="178"/>
      <c r="G5" s="178"/>
      <c r="H5" s="178"/>
      <c r="I5" s="178"/>
      <c r="J5" s="178"/>
      <c r="K5" s="178"/>
      <c r="L5" s="178"/>
      <c r="M5" s="178"/>
      <c r="N5" s="178"/>
    </row>
    <row r="6" spans="1:14" ht="18" customHeight="1" thickBot="1">
      <c r="A6" s="755">
        <v>1</v>
      </c>
      <c r="B6" s="756"/>
      <c r="C6" s="178"/>
      <c r="D6" s="178"/>
      <c r="E6" s="178"/>
      <c r="F6" s="178"/>
      <c r="G6" s="178"/>
      <c r="H6" s="178"/>
      <c r="I6" s="178"/>
      <c r="J6" s="178"/>
      <c r="K6" s="178"/>
      <c r="L6" s="178"/>
      <c r="M6" s="178"/>
      <c r="N6" s="178"/>
    </row>
    <row r="7" spans="1:14" ht="18" customHeight="1" thickBot="1">
      <c r="A7" s="755">
        <v>2</v>
      </c>
      <c r="B7" s="756"/>
      <c r="C7" s="178"/>
      <c r="D7" s="178"/>
      <c r="E7" s="178"/>
      <c r="F7" s="178"/>
      <c r="G7" s="178"/>
      <c r="H7" s="178"/>
      <c r="I7" s="178"/>
      <c r="J7" s="178"/>
      <c r="K7" s="178"/>
      <c r="L7" s="178"/>
      <c r="M7" s="178"/>
      <c r="N7" s="178"/>
    </row>
    <row r="8" spans="1:14" ht="18" customHeight="1" thickBot="1">
      <c r="A8" s="755">
        <v>3</v>
      </c>
      <c r="B8" s="756"/>
      <c r="C8" s="178"/>
      <c r="D8" s="178"/>
      <c r="E8" s="178"/>
      <c r="F8" s="178"/>
      <c r="G8" s="178"/>
      <c r="H8" s="178"/>
      <c r="I8" s="178"/>
      <c r="J8" s="178"/>
      <c r="K8" s="178"/>
      <c r="L8" s="178"/>
      <c r="M8" s="178"/>
      <c r="N8" s="178"/>
    </row>
    <row r="9" spans="1:14" ht="18" customHeight="1" thickBot="1">
      <c r="A9" s="755">
        <v>4</v>
      </c>
      <c r="B9" s="756"/>
      <c r="C9" s="178"/>
      <c r="D9" s="178"/>
      <c r="E9" s="178"/>
      <c r="F9" s="178"/>
      <c r="G9" s="178"/>
      <c r="H9" s="178"/>
      <c r="I9" s="178"/>
      <c r="J9" s="178"/>
      <c r="K9" s="178"/>
      <c r="L9" s="178"/>
      <c r="M9" s="178"/>
      <c r="N9" s="178"/>
    </row>
    <row r="10" spans="1:14" ht="18" customHeight="1" thickBot="1">
      <c r="A10" s="755">
        <v>5</v>
      </c>
      <c r="B10" s="756"/>
      <c r="C10" s="178"/>
      <c r="D10" s="178"/>
      <c r="E10" s="178"/>
      <c r="F10" s="178"/>
      <c r="G10" s="178"/>
      <c r="H10" s="178"/>
      <c r="I10" s="178"/>
      <c r="J10" s="178"/>
      <c r="K10" s="178"/>
      <c r="L10" s="178"/>
      <c r="M10" s="178"/>
      <c r="N10" s="178"/>
    </row>
    <row r="11" spans="1:14" ht="18" customHeight="1" thickBot="1">
      <c r="A11" s="755">
        <v>6</v>
      </c>
      <c r="B11" s="756"/>
      <c r="C11" s="178"/>
      <c r="D11" s="178"/>
      <c r="E11" s="178"/>
      <c r="F11" s="178"/>
      <c r="G11" s="178"/>
      <c r="H11" s="178"/>
      <c r="I11" s="178"/>
      <c r="J11" s="178"/>
      <c r="K11" s="178"/>
      <c r="L11" s="178"/>
      <c r="M11" s="178"/>
      <c r="N11" s="178"/>
    </row>
    <row r="12" spans="1:14" ht="18" customHeight="1" thickBot="1">
      <c r="A12" s="755">
        <v>7</v>
      </c>
      <c r="B12" s="756"/>
      <c r="C12" s="178"/>
      <c r="D12" s="178"/>
      <c r="E12" s="178"/>
      <c r="F12" s="178"/>
      <c r="G12" s="178"/>
      <c r="H12" s="178"/>
      <c r="I12" s="178"/>
      <c r="J12" s="178"/>
      <c r="K12" s="178"/>
      <c r="L12" s="178"/>
      <c r="M12" s="178"/>
      <c r="N12" s="178"/>
    </row>
    <row r="13" spans="1:14" ht="18" customHeight="1" thickBot="1">
      <c r="A13" s="755">
        <v>8</v>
      </c>
      <c r="B13" s="756"/>
      <c r="C13" s="178"/>
      <c r="D13" s="178"/>
      <c r="E13" s="178"/>
      <c r="F13" s="178"/>
      <c r="G13" s="178"/>
      <c r="H13" s="178"/>
      <c r="I13" s="178"/>
      <c r="J13" s="178"/>
      <c r="K13" s="178"/>
      <c r="L13" s="178"/>
      <c r="M13" s="178"/>
      <c r="N13" s="178"/>
    </row>
    <row r="14" spans="1:14" ht="18" customHeight="1" thickBot="1">
      <c r="A14" s="755">
        <v>9</v>
      </c>
      <c r="B14" s="756"/>
      <c r="C14" s="178"/>
      <c r="D14" s="178"/>
      <c r="E14" s="178"/>
      <c r="F14" s="178"/>
      <c r="G14" s="178"/>
      <c r="H14" s="178"/>
      <c r="I14" s="178"/>
      <c r="J14" s="178"/>
      <c r="K14" s="178"/>
      <c r="L14" s="178"/>
      <c r="M14" s="178"/>
      <c r="N14" s="178"/>
    </row>
    <row r="15" spans="1:14" ht="18" customHeight="1" thickBot="1">
      <c r="A15" s="755">
        <v>10</v>
      </c>
      <c r="B15" s="756"/>
      <c r="C15" s="178"/>
      <c r="D15" s="178"/>
      <c r="E15" s="178"/>
      <c r="F15" s="178"/>
      <c r="G15" s="178"/>
      <c r="H15" s="178"/>
      <c r="I15" s="178"/>
      <c r="J15" s="178"/>
      <c r="K15" s="178"/>
      <c r="L15" s="178"/>
      <c r="M15" s="178"/>
      <c r="N15" s="178"/>
    </row>
    <row r="16" spans="1:14" ht="18" customHeight="1" thickBot="1">
      <c r="A16" s="755">
        <v>11</v>
      </c>
      <c r="B16" s="756"/>
      <c r="C16" s="178"/>
      <c r="D16" s="178"/>
      <c r="E16" s="178"/>
      <c r="F16" s="178"/>
      <c r="G16" s="178"/>
      <c r="H16" s="178"/>
      <c r="I16" s="178"/>
      <c r="J16" s="178"/>
      <c r="K16" s="178"/>
      <c r="L16" s="178"/>
      <c r="M16" s="178"/>
      <c r="N16" s="178"/>
    </row>
    <row r="17" spans="1:14" ht="18" customHeight="1" thickBot="1">
      <c r="A17" s="755">
        <v>12</v>
      </c>
      <c r="B17" s="756"/>
      <c r="C17" s="178"/>
      <c r="D17" s="178"/>
      <c r="E17" s="178"/>
      <c r="F17" s="178"/>
      <c r="G17" s="178"/>
      <c r="H17" s="178"/>
      <c r="I17" s="178"/>
      <c r="J17" s="178"/>
      <c r="K17" s="178"/>
      <c r="L17" s="178"/>
      <c r="M17" s="178"/>
      <c r="N17" s="178"/>
    </row>
    <row r="18" spans="1:14" ht="18" customHeight="1" thickBot="1">
      <c r="A18" s="755">
        <v>13</v>
      </c>
      <c r="B18" s="756"/>
      <c r="C18" s="178"/>
      <c r="D18" s="178"/>
      <c r="E18" s="178"/>
      <c r="F18" s="178"/>
      <c r="G18" s="178"/>
      <c r="H18" s="178"/>
      <c r="I18" s="178"/>
      <c r="J18" s="178"/>
      <c r="K18" s="178"/>
      <c r="L18" s="178"/>
      <c r="M18" s="178"/>
      <c r="N18" s="178"/>
    </row>
    <row r="19" spans="1:14" ht="18" customHeight="1" thickBot="1">
      <c r="A19" s="755">
        <v>14</v>
      </c>
      <c r="B19" s="756"/>
      <c r="C19" s="178"/>
      <c r="D19" s="178"/>
      <c r="E19" s="178"/>
      <c r="F19" s="178"/>
      <c r="G19" s="178"/>
      <c r="H19" s="178"/>
      <c r="I19" s="178"/>
      <c r="J19" s="178"/>
      <c r="K19" s="178"/>
      <c r="L19" s="178"/>
      <c r="M19" s="178"/>
      <c r="N19" s="178"/>
    </row>
    <row r="20" spans="1:14" ht="18" customHeight="1" thickBot="1">
      <c r="A20" s="755">
        <v>15</v>
      </c>
      <c r="B20" s="756"/>
      <c r="C20" s="178"/>
      <c r="D20" s="178"/>
      <c r="E20" s="178"/>
      <c r="F20" s="178"/>
      <c r="G20" s="178"/>
      <c r="H20" s="178"/>
      <c r="I20" s="178"/>
      <c r="J20" s="178"/>
      <c r="K20" s="178"/>
      <c r="L20" s="178"/>
      <c r="M20" s="178"/>
      <c r="N20" s="178"/>
    </row>
    <row r="21" spans="1:14" ht="18" customHeight="1" thickBot="1">
      <c r="A21" s="755">
        <v>16</v>
      </c>
      <c r="B21" s="756"/>
      <c r="C21" s="178"/>
      <c r="D21" s="178"/>
      <c r="E21" s="178"/>
      <c r="F21" s="178"/>
      <c r="G21" s="178"/>
      <c r="H21" s="178"/>
      <c r="I21" s="178"/>
      <c r="J21" s="178"/>
      <c r="K21" s="178"/>
      <c r="L21" s="178"/>
      <c r="M21" s="178"/>
      <c r="N21" s="178"/>
    </row>
    <row r="22" spans="1:14" ht="18" customHeight="1" thickBot="1">
      <c r="A22" s="755">
        <v>17</v>
      </c>
      <c r="B22" s="756"/>
      <c r="C22" s="178"/>
      <c r="D22" s="178"/>
      <c r="E22" s="178"/>
      <c r="F22" s="178"/>
      <c r="G22" s="178"/>
      <c r="H22" s="178"/>
      <c r="I22" s="178"/>
      <c r="J22" s="178"/>
      <c r="K22" s="178"/>
      <c r="L22" s="178"/>
      <c r="M22" s="178"/>
      <c r="N22" s="178"/>
    </row>
    <row r="23" spans="1:14" ht="18" customHeight="1" thickBot="1">
      <c r="A23" s="755">
        <v>18</v>
      </c>
      <c r="B23" s="756"/>
      <c r="C23" s="178"/>
      <c r="D23" s="178"/>
      <c r="E23" s="178"/>
      <c r="F23" s="178"/>
      <c r="G23" s="178"/>
      <c r="H23" s="178"/>
      <c r="I23" s="178"/>
      <c r="J23" s="178"/>
      <c r="K23" s="178"/>
      <c r="L23" s="178"/>
      <c r="M23" s="178"/>
      <c r="N23" s="178"/>
    </row>
    <row r="24" spans="1:14" ht="18" customHeight="1" thickBot="1">
      <c r="A24" s="755">
        <v>19</v>
      </c>
      <c r="B24" s="756"/>
      <c r="C24" s="178"/>
      <c r="D24" s="178"/>
      <c r="E24" s="178"/>
      <c r="F24" s="178"/>
      <c r="G24" s="178"/>
      <c r="H24" s="178"/>
      <c r="I24" s="178"/>
      <c r="J24" s="178"/>
      <c r="K24" s="178"/>
      <c r="L24" s="178"/>
      <c r="M24" s="178"/>
      <c r="N24" s="178"/>
    </row>
    <row r="25" spans="1:14" ht="18" customHeight="1" thickBot="1">
      <c r="A25" s="755">
        <v>20</v>
      </c>
      <c r="B25" s="756"/>
      <c r="C25" s="178"/>
      <c r="D25" s="178"/>
      <c r="E25" s="178"/>
      <c r="F25" s="178"/>
      <c r="G25" s="178"/>
      <c r="H25" s="178"/>
      <c r="I25" s="178"/>
      <c r="J25" s="178"/>
      <c r="K25" s="178"/>
      <c r="L25" s="178"/>
      <c r="M25" s="178"/>
      <c r="N25" s="178"/>
    </row>
    <row r="26" spans="1:14" ht="18" customHeight="1" thickBot="1">
      <c r="A26" s="755">
        <v>21</v>
      </c>
      <c r="B26" s="756"/>
      <c r="C26" s="178"/>
      <c r="D26" s="178"/>
      <c r="E26" s="178"/>
      <c r="F26" s="178"/>
      <c r="G26" s="178"/>
      <c r="H26" s="178"/>
      <c r="I26" s="178"/>
      <c r="J26" s="178"/>
      <c r="K26" s="178"/>
      <c r="L26" s="178"/>
      <c r="M26" s="178"/>
      <c r="N26" s="178"/>
    </row>
    <row r="27" spans="1:14" ht="18" customHeight="1" thickBot="1">
      <c r="A27" s="755">
        <v>22</v>
      </c>
      <c r="B27" s="756"/>
      <c r="C27" s="178"/>
      <c r="D27" s="178"/>
      <c r="E27" s="178"/>
      <c r="F27" s="178"/>
      <c r="G27" s="178"/>
      <c r="H27" s="178"/>
      <c r="I27" s="178"/>
      <c r="J27" s="178"/>
      <c r="K27" s="178"/>
      <c r="L27" s="178"/>
      <c r="M27" s="178"/>
      <c r="N27" s="178"/>
    </row>
    <row r="28" spans="1:14" ht="18" customHeight="1" thickBot="1">
      <c r="A28" s="755">
        <v>23</v>
      </c>
      <c r="B28" s="756"/>
      <c r="C28" s="178"/>
      <c r="D28" s="178"/>
      <c r="E28" s="178"/>
      <c r="F28" s="178"/>
      <c r="G28" s="178"/>
      <c r="H28" s="178"/>
      <c r="I28" s="178"/>
      <c r="J28" s="178"/>
      <c r="K28" s="178"/>
      <c r="L28" s="178"/>
      <c r="M28" s="178"/>
      <c r="N28" s="178"/>
    </row>
    <row r="29" spans="1:14" ht="18" customHeight="1" thickBot="1">
      <c r="A29" s="755">
        <v>24</v>
      </c>
      <c r="B29" s="756"/>
      <c r="C29" s="178"/>
      <c r="D29" s="178"/>
      <c r="E29" s="178"/>
      <c r="F29" s="178"/>
      <c r="G29" s="178"/>
      <c r="H29" s="178"/>
      <c r="I29" s="178"/>
      <c r="J29" s="178"/>
      <c r="K29" s="178"/>
      <c r="L29" s="178"/>
      <c r="M29" s="178"/>
      <c r="N29" s="178"/>
    </row>
    <row r="30" spans="1:14" ht="18" customHeight="1" thickBot="1">
      <c r="A30" s="755">
        <v>25</v>
      </c>
      <c r="B30" s="756"/>
      <c r="C30" s="178"/>
      <c r="D30" s="178"/>
      <c r="E30" s="178"/>
      <c r="F30" s="178"/>
      <c r="G30" s="178"/>
      <c r="H30" s="178"/>
      <c r="I30" s="178"/>
      <c r="J30" s="178"/>
      <c r="K30" s="178"/>
      <c r="L30" s="178"/>
      <c r="M30" s="178"/>
      <c r="N30" s="178"/>
    </row>
    <row r="31" spans="1:14" ht="18" customHeight="1" thickBot="1">
      <c r="A31" s="750"/>
      <c r="B31" s="751"/>
      <c r="C31" s="751"/>
      <c r="D31" s="751"/>
      <c r="E31" s="751"/>
      <c r="F31" s="751"/>
      <c r="G31" s="751"/>
      <c r="H31" s="751"/>
      <c r="I31" s="751"/>
      <c r="J31" s="751"/>
      <c r="K31" s="751"/>
      <c r="L31" s="751"/>
      <c r="M31" s="751"/>
      <c r="N31" s="752"/>
    </row>
    <row r="32" spans="1:14" ht="19.5" customHeight="1">
      <c r="A32" s="744" t="s">
        <v>15</v>
      </c>
      <c r="B32" s="745"/>
      <c r="C32" s="745"/>
      <c r="D32" s="745"/>
      <c r="E32" s="745"/>
      <c r="F32" s="745"/>
      <c r="G32" s="745"/>
      <c r="H32" s="745"/>
      <c r="I32" s="745"/>
      <c r="J32" s="745"/>
      <c r="K32" s="745"/>
      <c r="L32" s="745"/>
      <c r="M32" s="745"/>
      <c r="N32" s="746"/>
    </row>
    <row r="33" spans="1:14" ht="19.5" customHeight="1">
      <c r="A33" s="701" t="s">
        <v>208</v>
      </c>
      <c r="B33" s="702"/>
      <c r="C33" s="702"/>
      <c r="D33" s="702"/>
      <c r="E33" s="702"/>
      <c r="F33" s="702"/>
      <c r="G33" s="702"/>
      <c r="H33" s="702"/>
      <c r="I33" s="702"/>
      <c r="J33" s="702"/>
      <c r="K33" s="702"/>
      <c r="L33" s="702"/>
      <c r="M33" s="702"/>
      <c r="N33" s="703"/>
    </row>
    <row r="34" spans="1:14" ht="31" customHeight="1">
      <c r="A34" s="685" t="s">
        <v>209</v>
      </c>
      <c r="B34" s="686"/>
      <c r="C34" s="686"/>
      <c r="D34" s="686"/>
      <c r="E34" s="686"/>
      <c r="F34" s="686"/>
      <c r="G34" s="686"/>
      <c r="H34" s="686"/>
      <c r="I34" s="686"/>
      <c r="J34" s="686"/>
      <c r="K34" s="686"/>
      <c r="L34" s="686"/>
      <c r="M34" s="686"/>
      <c r="N34" s="761"/>
    </row>
    <row r="35" spans="1:14">
      <c r="A35" s="701" t="s">
        <v>294</v>
      </c>
      <c r="B35" s="753"/>
      <c r="C35" s="753"/>
      <c r="D35" s="753"/>
      <c r="E35" s="753"/>
      <c r="F35" s="753"/>
      <c r="G35" s="753"/>
      <c r="H35" s="753"/>
      <c r="I35" s="753"/>
      <c r="J35" s="753"/>
      <c r="K35" s="753"/>
      <c r="L35" s="753"/>
      <c r="M35" s="753"/>
      <c r="N35" s="754"/>
    </row>
    <row r="36" spans="1:14" ht="17" thickBot="1">
      <c r="A36" s="701" t="s">
        <v>295</v>
      </c>
      <c r="B36" s="753"/>
      <c r="C36" s="753"/>
      <c r="D36" s="753"/>
      <c r="E36" s="753"/>
      <c r="F36" s="753"/>
      <c r="G36" s="753"/>
      <c r="H36" s="753"/>
      <c r="I36" s="753"/>
      <c r="J36" s="753"/>
      <c r="K36" s="753"/>
      <c r="L36" s="753"/>
      <c r="M36" s="753"/>
      <c r="N36" s="754"/>
    </row>
    <row r="37" spans="1:14" ht="17" thickBot="1">
      <c r="A37" s="701"/>
      <c r="B37" s="753"/>
      <c r="C37" s="753"/>
      <c r="D37" s="753"/>
      <c r="E37" s="753"/>
      <c r="F37" s="753"/>
      <c r="G37" s="753"/>
      <c r="H37" s="753"/>
      <c r="I37" s="753"/>
      <c r="J37" s="753"/>
      <c r="K37" s="753"/>
      <c r="L37" s="753"/>
      <c r="M37" s="753"/>
      <c r="N37" s="754"/>
    </row>
    <row r="38" spans="1:14">
      <c r="A38" s="744" t="s">
        <v>173</v>
      </c>
      <c r="B38" s="745"/>
      <c r="C38" s="745"/>
      <c r="D38" s="745"/>
      <c r="E38" s="745"/>
      <c r="F38" s="745"/>
      <c r="G38" s="745"/>
      <c r="H38" s="745"/>
      <c r="I38" s="745"/>
      <c r="J38" s="745"/>
      <c r="K38" s="745"/>
      <c r="L38" s="745"/>
      <c r="M38" s="745"/>
      <c r="N38" s="746"/>
    </row>
    <row r="39" spans="1:14" ht="68.25" customHeight="1" thickBot="1">
      <c r="A39" s="747"/>
      <c r="B39" s="748"/>
      <c r="C39" s="748"/>
      <c r="D39" s="748"/>
      <c r="E39" s="748"/>
      <c r="F39" s="748"/>
      <c r="G39" s="748"/>
      <c r="H39" s="748"/>
      <c r="I39" s="748"/>
      <c r="J39" s="748"/>
      <c r="K39" s="748"/>
      <c r="L39" s="748"/>
      <c r="M39" s="748"/>
      <c r="N39" s="749"/>
    </row>
    <row r="40" spans="1:14">
      <c r="A40" s="352" t="str">
        <f>'Summary Schedule'!A53</f>
        <v>4.1.5.c</v>
      </c>
    </row>
    <row r="41" spans="1:14">
      <c r="A41" s="352" t="str">
        <f>'Summary Schedule'!A54</f>
        <v>04232024</v>
      </c>
    </row>
  </sheetData>
  <mergeCells count="39">
    <mergeCell ref="A29:B29"/>
    <mergeCell ref="A34:N34"/>
    <mergeCell ref="A4:B4"/>
    <mergeCell ref="A5:B5"/>
    <mergeCell ref="A6:B6"/>
    <mergeCell ref="A30:B30"/>
    <mergeCell ref="A19:B19"/>
    <mergeCell ref="A20:B20"/>
    <mergeCell ref="A21:B21"/>
    <mergeCell ref="A22:B22"/>
    <mergeCell ref="A23:B23"/>
    <mergeCell ref="A24:B24"/>
    <mergeCell ref="A25:B25"/>
    <mergeCell ref="A26:B26"/>
    <mergeCell ref="A18:B18"/>
    <mergeCell ref="A9:B9"/>
    <mergeCell ref="A10:B10"/>
    <mergeCell ref="A13:B13"/>
    <mergeCell ref="A14:B14"/>
    <mergeCell ref="A15:B15"/>
    <mergeCell ref="A1:N1"/>
    <mergeCell ref="A2:N2"/>
    <mergeCell ref="A3:N3"/>
    <mergeCell ref="A7:B7"/>
    <mergeCell ref="A8:B8"/>
    <mergeCell ref="A27:B27"/>
    <mergeCell ref="A28:B28"/>
    <mergeCell ref="A17:B17"/>
    <mergeCell ref="A11:B11"/>
    <mergeCell ref="A12:B12"/>
    <mergeCell ref="A16:B16"/>
    <mergeCell ref="A38:N38"/>
    <mergeCell ref="A39:N39"/>
    <mergeCell ref="A31:N31"/>
    <mergeCell ref="A32:N32"/>
    <mergeCell ref="A33:N33"/>
    <mergeCell ref="A35:N35"/>
    <mergeCell ref="A36:N36"/>
    <mergeCell ref="A37:N37"/>
  </mergeCells>
  <dataValidations count="1">
    <dataValidation type="whole" allowBlank="1" showInputMessage="1" showErrorMessage="1" error="Please enter a valid number" sqref="C5:N30" xr:uid="{00000000-0002-0000-0B00-000000000000}">
      <formula1>0</formula1>
      <formula2>1000000000</formula2>
    </dataValidation>
  </dataValidations>
  <pageMargins left="0.75" right="0.75" top="1" bottom="1" header="0.5" footer="0.5"/>
  <pageSetup scale="48"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871B-7AA9-45B4-AC77-F304245E2B8C}">
  <sheetPr codeName="Sheet27"/>
  <dimension ref="A1"/>
  <sheetViews>
    <sheetView workbookViewId="0"/>
  </sheetViews>
  <sheetFormatPr baseColWidth="10" defaultColWidth="8.83203125" defaultRowHeight="16"/>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2773-E22C-4461-8FA8-562F9DD471D8}">
  <sheetPr codeName="Sheet28"/>
  <dimension ref="A1"/>
  <sheetViews>
    <sheetView workbookViewId="0"/>
  </sheetViews>
  <sheetFormatPr baseColWidth="10" defaultColWidth="8.83203125" defaultRowHeight="16"/>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981F1-770A-4340-89E3-3ED1BB344C9B}">
  <sheetPr codeName="Sheet29"/>
  <dimension ref="A1"/>
  <sheetViews>
    <sheetView workbookViewId="0"/>
  </sheetViews>
  <sheetFormatPr baseColWidth="10" defaultColWidth="8.83203125" defaultRowHeight="16"/>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4830-0EB1-8D4C-8D69-149292243169}">
  <sheetPr codeName="Sheet25"/>
  <dimension ref="A1:Q66"/>
  <sheetViews>
    <sheetView topLeftCell="A39" zoomScale="80" zoomScaleNormal="80" workbookViewId="0">
      <selection activeCell="M65" sqref="M65"/>
    </sheetView>
  </sheetViews>
  <sheetFormatPr baseColWidth="10" defaultColWidth="10.5" defaultRowHeight="16"/>
  <cols>
    <col min="1" max="1" width="34.33203125" customWidth="1"/>
    <col min="2" max="3" width="8.5" bestFit="1" customWidth="1"/>
    <col min="4" max="4" width="41.33203125" bestFit="1" customWidth="1"/>
    <col min="8" max="8" width="17.83203125" customWidth="1"/>
    <col min="10" max="10" width="18" customWidth="1"/>
  </cols>
  <sheetData>
    <row r="1" spans="1:17" s="435" customFormat="1" ht="42">
      <c r="A1" s="434" t="s">
        <v>433</v>
      </c>
      <c r="B1" s="434" t="s">
        <v>434</v>
      </c>
      <c r="C1" s="434" t="s">
        <v>435</v>
      </c>
      <c r="D1" s="434" t="s">
        <v>436</v>
      </c>
      <c r="E1" s="434" t="s">
        <v>437</v>
      </c>
      <c r="F1" s="434" t="s">
        <v>438</v>
      </c>
      <c r="G1" s="434" t="s">
        <v>439</v>
      </c>
      <c r="H1" s="434" t="s">
        <v>440</v>
      </c>
      <c r="I1" s="434" t="s">
        <v>441</v>
      </c>
      <c r="J1" s="434" t="s">
        <v>442</v>
      </c>
      <c r="K1" s="434" t="s">
        <v>443</v>
      </c>
      <c r="L1" s="434" t="s">
        <v>444</v>
      </c>
      <c r="M1" s="434" t="s">
        <v>445</v>
      </c>
      <c r="N1" s="434" t="s">
        <v>446</v>
      </c>
    </row>
    <row r="2" spans="1:17">
      <c r="A2" s="436" t="str">
        <f t="shared" ref="A2:A57" si="0">CONCATENATE(B2,"-",C2,"-",D2)</f>
        <v>Scope All-Fuels-Asphalt and road oil</v>
      </c>
      <c r="B2" s="436" t="s">
        <v>447</v>
      </c>
      <c r="C2" s="436" t="s">
        <v>448</v>
      </c>
      <c r="D2" s="436" t="s">
        <v>449</v>
      </c>
      <c r="E2" s="437">
        <v>0.158</v>
      </c>
      <c r="F2" s="437" t="s">
        <v>450</v>
      </c>
      <c r="G2" s="437">
        <v>75.36</v>
      </c>
      <c r="H2" s="437" t="s">
        <v>451</v>
      </c>
      <c r="I2" s="437">
        <v>3.0000000000000001E-3</v>
      </c>
      <c r="J2" s="437" t="s">
        <v>452</v>
      </c>
      <c r="K2" s="437">
        <v>5.9999999999999995E-4</v>
      </c>
      <c r="L2" s="436" t="s">
        <v>453</v>
      </c>
      <c r="M2" s="436" t="s">
        <v>454</v>
      </c>
      <c r="N2" s="438" t="s">
        <v>455</v>
      </c>
      <c r="O2" s="436"/>
      <c r="P2" s="436"/>
      <c r="Q2" s="436"/>
    </row>
    <row r="3" spans="1:17">
      <c r="A3" s="436" t="str">
        <f t="shared" si="0"/>
        <v>Scope All-Fuels-Aviation gasoline</v>
      </c>
      <c r="B3" s="436" t="s">
        <v>447</v>
      </c>
      <c r="C3" s="436" t="s">
        <v>448</v>
      </c>
      <c r="D3" s="436" t="s">
        <v>456</v>
      </c>
      <c r="E3" s="437">
        <v>0.12</v>
      </c>
      <c r="F3" s="437" t="s">
        <v>450</v>
      </c>
      <c r="G3" s="437">
        <v>69.25</v>
      </c>
      <c r="H3" s="437" t="s">
        <v>451</v>
      </c>
      <c r="I3" s="437">
        <v>3.0000000000000001E-3</v>
      </c>
      <c r="J3" s="437" t="s">
        <v>452</v>
      </c>
      <c r="K3" s="437">
        <v>5.9999999999999995E-4</v>
      </c>
      <c r="L3" s="436" t="s">
        <v>453</v>
      </c>
      <c r="M3" s="436" t="s">
        <v>454</v>
      </c>
      <c r="N3" s="438" t="s">
        <v>455</v>
      </c>
      <c r="O3" s="436"/>
      <c r="P3" s="436"/>
      <c r="Q3" s="436"/>
    </row>
    <row r="4" spans="1:17">
      <c r="A4" s="436" t="str">
        <f t="shared" si="0"/>
        <v>Scope All-Fuels-Biodiesel - B100</v>
      </c>
      <c r="B4" s="436" t="s">
        <v>447</v>
      </c>
      <c r="C4" s="436" t="s">
        <v>448</v>
      </c>
      <c r="D4" s="436" t="s">
        <v>457</v>
      </c>
      <c r="E4" s="436">
        <v>0.128</v>
      </c>
      <c r="F4" s="436" t="s">
        <v>450</v>
      </c>
      <c r="G4" s="436">
        <v>73.84</v>
      </c>
      <c r="H4" s="436" t="s">
        <v>451</v>
      </c>
      <c r="I4" s="436">
        <f>1.1*10^-3</f>
        <v>1.1000000000000001E-3</v>
      </c>
      <c r="J4" s="436" t="s">
        <v>452</v>
      </c>
      <c r="K4" s="436">
        <f>1.1*10^-4</f>
        <v>1.1000000000000002E-4</v>
      </c>
      <c r="L4" s="436" t="s">
        <v>453</v>
      </c>
      <c r="M4" s="436" t="s">
        <v>454</v>
      </c>
      <c r="N4" s="438" t="s">
        <v>458</v>
      </c>
      <c r="O4" s="436"/>
      <c r="P4" s="436"/>
      <c r="Q4" s="436"/>
    </row>
    <row r="5" spans="1:17">
      <c r="A5" s="436" t="str">
        <f t="shared" si="0"/>
        <v>Scope All-Fuels-Biogas - captured methane</v>
      </c>
      <c r="B5" s="436" t="s">
        <v>447</v>
      </c>
      <c r="C5" s="436" t="s">
        <v>448</v>
      </c>
      <c r="D5" s="436" t="s">
        <v>459</v>
      </c>
      <c r="E5" s="437">
        <v>4.8500000000000003E-4</v>
      </c>
      <c r="F5" s="437" t="s">
        <v>460</v>
      </c>
      <c r="G5" s="437">
        <v>52.07</v>
      </c>
      <c r="H5" s="437" t="s">
        <v>451</v>
      </c>
      <c r="I5" s="437">
        <v>3.2000000000000002E-3</v>
      </c>
      <c r="J5" s="437" t="s">
        <v>452</v>
      </c>
      <c r="K5" s="437">
        <v>6.3000000000000003E-4</v>
      </c>
      <c r="L5" s="436" t="s">
        <v>453</v>
      </c>
      <c r="M5" s="436" t="s">
        <v>454</v>
      </c>
      <c r="N5" s="438" t="s">
        <v>455</v>
      </c>
      <c r="O5" s="436"/>
      <c r="P5" s="436"/>
      <c r="Q5" s="436"/>
    </row>
    <row r="6" spans="1:17">
      <c r="A6" s="436" t="str">
        <f t="shared" si="0"/>
        <v>Scope All-Fuels-Biogas - LandGEM</v>
      </c>
      <c r="B6" s="436" t="s">
        <v>447</v>
      </c>
      <c r="C6" s="436" t="s">
        <v>448</v>
      </c>
      <c r="D6" s="436" t="s">
        <v>461</v>
      </c>
      <c r="E6" s="436">
        <f>(0.841*(10^-3))*(1/0.0423)*2.20462*1000</f>
        <v>43.83180661938534</v>
      </c>
      <c r="F6" s="436" t="s">
        <v>462</v>
      </c>
      <c r="G6" s="436">
        <f>(52.07)*(1/1000)</f>
        <v>5.2069999999999998E-2</v>
      </c>
      <c r="H6" s="436" t="s">
        <v>463</v>
      </c>
      <c r="I6" s="436">
        <f>(3.2*10^-3)*(1/1000)</f>
        <v>3.2000000000000003E-6</v>
      </c>
      <c r="J6" s="436" t="s">
        <v>464</v>
      </c>
      <c r="K6" s="436">
        <f>(6.3*10^-4)*(1/1000)</f>
        <v>6.3E-7</v>
      </c>
      <c r="L6" s="436" t="s">
        <v>465</v>
      </c>
      <c r="M6" s="436" t="s">
        <v>466</v>
      </c>
      <c r="N6" s="439" t="s">
        <v>467</v>
      </c>
      <c r="O6" s="436"/>
      <c r="P6" s="436"/>
      <c r="Q6" s="436"/>
    </row>
    <row r="7" spans="1:17">
      <c r="A7" s="436" t="str">
        <f t="shared" si="0"/>
        <v>Scope All-Fuels-Biogas - WWTP</v>
      </c>
      <c r="B7" s="436" t="s">
        <v>447</v>
      </c>
      <c r="C7" s="436" t="s">
        <v>448</v>
      </c>
      <c r="D7" s="436" t="s">
        <v>468</v>
      </c>
      <c r="E7" s="436">
        <f>(0.841*(10^-3))*(1/0.0423)*2.20462</f>
        <v>4.3831806619385343E-2</v>
      </c>
      <c r="F7" s="436" t="s">
        <v>469</v>
      </c>
      <c r="G7" s="436">
        <f>(52.07)*(1/1000)</f>
        <v>5.2069999999999998E-2</v>
      </c>
      <c r="H7" s="436" t="s">
        <v>463</v>
      </c>
      <c r="I7" s="436">
        <f>(3.2*10^-3)*(1/1000)</f>
        <v>3.2000000000000003E-6</v>
      </c>
      <c r="J7" s="436" t="s">
        <v>464</v>
      </c>
      <c r="K7" s="436">
        <f>(6.3*10^-4)*(1/1000)</f>
        <v>6.3E-7</v>
      </c>
      <c r="L7" s="436" t="s">
        <v>465</v>
      </c>
      <c r="M7" s="436" t="s">
        <v>466</v>
      </c>
      <c r="N7" s="439" t="s">
        <v>467</v>
      </c>
      <c r="O7" s="436"/>
      <c r="P7" s="436"/>
      <c r="Q7" s="436"/>
    </row>
    <row r="8" spans="1:17">
      <c r="A8" s="436" t="str">
        <f t="shared" si="0"/>
        <v>Scope All-Fuels-Biomass - Agricultural byproducts</v>
      </c>
      <c r="B8" s="436" t="s">
        <v>447</v>
      </c>
      <c r="C8" s="436" t="s">
        <v>448</v>
      </c>
      <c r="D8" s="436" t="s">
        <v>470</v>
      </c>
      <c r="E8" s="437">
        <v>8.25</v>
      </c>
      <c r="F8" s="437" t="s">
        <v>471</v>
      </c>
      <c r="G8" s="437">
        <v>118.17</v>
      </c>
      <c r="H8" s="437" t="s">
        <v>451</v>
      </c>
      <c r="I8" s="437">
        <v>3.2000000000000001E-2</v>
      </c>
      <c r="J8" s="437" t="s">
        <v>452</v>
      </c>
      <c r="K8" s="437">
        <v>4.2000000000000006E-3</v>
      </c>
      <c r="L8" s="436" t="s">
        <v>453</v>
      </c>
      <c r="M8" s="436" t="s">
        <v>454</v>
      </c>
      <c r="N8" s="438" t="s">
        <v>455</v>
      </c>
      <c r="O8" s="436"/>
      <c r="P8" s="436"/>
      <c r="Q8" s="436"/>
    </row>
    <row r="9" spans="1:17">
      <c r="A9" s="436" t="str">
        <f t="shared" si="0"/>
        <v>Scope All-Fuels-Biomass - Peat</v>
      </c>
      <c r="B9" s="436" t="s">
        <v>447</v>
      </c>
      <c r="C9" s="436" t="s">
        <v>448</v>
      </c>
      <c r="D9" s="436" t="s">
        <v>472</v>
      </c>
      <c r="E9" s="437">
        <v>8</v>
      </c>
      <c r="F9" s="437" t="s">
        <v>471</v>
      </c>
      <c r="G9" s="437">
        <v>111.84</v>
      </c>
      <c r="H9" s="437" t="s">
        <v>451</v>
      </c>
      <c r="I9" s="437">
        <v>3.2000000000000001E-2</v>
      </c>
      <c r="J9" s="437" t="s">
        <v>452</v>
      </c>
      <c r="K9" s="437">
        <v>4.2000000000000006E-3</v>
      </c>
      <c r="L9" s="436" t="s">
        <v>453</v>
      </c>
      <c r="M9" s="436" t="s">
        <v>454</v>
      </c>
      <c r="N9" s="438" t="s">
        <v>455</v>
      </c>
      <c r="O9" s="436"/>
      <c r="P9" s="436"/>
      <c r="Q9" s="436"/>
    </row>
    <row r="10" spans="1:17">
      <c r="A10" s="436" t="str">
        <f t="shared" si="0"/>
        <v>Scope All-Fuels-Biomass - Solid byproducts</v>
      </c>
      <c r="B10" s="436" t="s">
        <v>447</v>
      </c>
      <c r="C10" s="436" t="s">
        <v>448</v>
      </c>
      <c r="D10" s="436" t="s">
        <v>473</v>
      </c>
      <c r="E10" s="437">
        <v>10.39</v>
      </c>
      <c r="F10" s="437" t="s">
        <v>471</v>
      </c>
      <c r="G10" s="437">
        <v>105.51</v>
      </c>
      <c r="H10" s="437" t="s">
        <v>451</v>
      </c>
      <c r="I10" s="437">
        <v>3.2000000000000001E-2</v>
      </c>
      <c r="J10" s="437" t="s">
        <v>452</v>
      </c>
      <c r="K10" s="437">
        <v>4.2000000000000006E-3</v>
      </c>
      <c r="L10" s="436" t="s">
        <v>453</v>
      </c>
      <c r="M10" s="436" t="s">
        <v>454</v>
      </c>
      <c r="N10" s="438" t="s">
        <v>455</v>
      </c>
      <c r="O10" s="436"/>
      <c r="P10" s="436"/>
      <c r="Q10" s="436"/>
    </row>
    <row r="11" spans="1:17">
      <c r="A11" s="436" t="str">
        <f t="shared" si="0"/>
        <v>Scope All-Fuels-Biomass - Wood and wood residuals</v>
      </c>
      <c r="B11" s="436" t="s">
        <v>447</v>
      </c>
      <c r="C11" s="436" t="s">
        <v>448</v>
      </c>
      <c r="D11" s="436" t="s">
        <v>474</v>
      </c>
      <c r="E11" s="437">
        <v>17.48</v>
      </c>
      <c r="F11" s="437" t="s">
        <v>471</v>
      </c>
      <c r="G11" s="437">
        <v>93.8</v>
      </c>
      <c r="H11" s="437" t="s">
        <v>451</v>
      </c>
      <c r="I11" s="437">
        <v>7.1999999999999998E-3</v>
      </c>
      <c r="J11" s="437" t="s">
        <v>452</v>
      </c>
      <c r="K11" s="437">
        <v>3.5999999999999999E-3</v>
      </c>
      <c r="L11" s="436" t="s">
        <v>453</v>
      </c>
      <c r="M11" s="436" t="s">
        <v>454</v>
      </c>
      <c r="N11" s="438" t="s">
        <v>455</v>
      </c>
      <c r="O11" s="436"/>
      <c r="P11" s="436"/>
      <c r="Q11" s="436"/>
    </row>
    <row r="12" spans="1:17">
      <c r="A12" s="436" t="str">
        <f t="shared" si="0"/>
        <v>Scope All-Fuels-Blast furnace gas - Fossil-derived</v>
      </c>
      <c r="B12" s="436" t="s">
        <v>447</v>
      </c>
      <c r="C12" s="436" t="s">
        <v>448</v>
      </c>
      <c r="D12" s="436" t="s">
        <v>475</v>
      </c>
      <c r="E12" s="437">
        <f>0.092*10^-3</f>
        <v>9.2E-5</v>
      </c>
      <c r="F12" s="437" t="s">
        <v>460</v>
      </c>
      <c r="G12" s="437">
        <v>274.32</v>
      </c>
      <c r="H12" s="437" t="s">
        <v>451</v>
      </c>
      <c r="I12" s="437">
        <v>2.1999999999999999E-5</v>
      </c>
      <c r="J12" s="437" t="s">
        <v>452</v>
      </c>
      <c r="K12" s="437">
        <v>1E-4</v>
      </c>
      <c r="L12" s="436" t="s">
        <v>453</v>
      </c>
      <c r="M12" s="436" t="s">
        <v>454</v>
      </c>
      <c r="N12" s="438" t="s">
        <v>455</v>
      </c>
      <c r="O12" s="436"/>
      <c r="P12" s="436"/>
      <c r="Q12" s="436"/>
    </row>
    <row r="13" spans="1:17">
      <c r="A13" s="436" t="str">
        <f t="shared" si="0"/>
        <v>Scope All-Fuels-Butane</v>
      </c>
      <c r="B13" s="436" t="s">
        <v>447</v>
      </c>
      <c r="C13" s="436" t="s">
        <v>448</v>
      </c>
      <c r="D13" s="436" t="s">
        <v>476</v>
      </c>
      <c r="E13" s="437">
        <v>0.10299999999999999</v>
      </c>
      <c r="F13" s="437" t="s">
        <v>450</v>
      </c>
      <c r="G13" s="437">
        <v>64.77</v>
      </c>
      <c r="H13" s="437" t="s">
        <v>451</v>
      </c>
      <c r="I13" s="437">
        <v>3.0000000000000001E-3</v>
      </c>
      <c r="J13" s="437" t="s">
        <v>452</v>
      </c>
      <c r="K13" s="437">
        <v>5.9999999999999995E-4</v>
      </c>
      <c r="L13" s="436" t="s">
        <v>453</v>
      </c>
      <c r="M13" s="436" t="s">
        <v>454</v>
      </c>
      <c r="N13" s="438" t="s">
        <v>455</v>
      </c>
      <c r="O13" s="436"/>
      <c r="P13" s="436"/>
      <c r="Q13" s="436"/>
    </row>
    <row r="14" spans="1:17">
      <c r="A14" s="436" t="str">
        <f t="shared" si="0"/>
        <v>Scope All-Fuels-Butylene</v>
      </c>
      <c r="B14" s="436" t="s">
        <v>447</v>
      </c>
      <c r="C14" s="436" t="s">
        <v>448</v>
      </c>
      <c r="D14" s="436" t="s">
        <v>477</v>
      </c>
      <c r="E14" s="437">
        <v>0.105</v>
      </c>
      <c r="F14" s="437" t="s">
        <v>450</v>
      </c>
      <c r="G14" s="437">
        <v>68.72</v>
      </c>
      <c r="H14" s="437" t="s">
        <v>451</v>
      </c>
      <c r="I14" s="437">
        <v>3.0000000000000001E-3</v>
      </c>
      <c r="J14" s="437" t="s">
        <v>452</v>
      </c>
      <c r="K14" s="437">
        <v>5.9999999999999995E-4</v>
      </c>
      <c r="L14" s="436" t="s">
        <v>453</v>
      </c>
      <c r="M14" s="436" t="s">
        <v>454</v>
      </c>
      <c r="N14" s="438" t="s">
        <v>455</v>
      </c>
      <c r="O14" s="436"/>
      <c r="P14" s="436"/>
      <c r="Q14" s="436"/>
    </row>
    <row r="15" spans="1:17" s="453" customFormat="1">
      <c r="A15" s="453" t="str">
        <f t="shared" si="0"/>
        <v>Scope All-Fuels-Coal - Anthracite</v>
      </c>
      <c r="B15" s="453" t="s">
        <v>447</v>
      </c>
      <c r="C15" s="453" t="s">
        <v>448</v>
      </c>
      <c r="D15" s="453" t="s">
        <v>478</v>
      </c>
      <c r="E15" s="459">
        <v>25.09</v>
      </c>
      <c r="F15" s="459" t="s">
        <v>471</v>
      </c>
      <c r="G15" s="459">
        <v>103.69</v>
      </c>
      <c r="H15" s="459" t="s">
        <v>451</v>
      </c>
      <c r="I15" s="459">
        <v>1.0999999999999999E-2</v>
      </c>
      <c r="J15" s="459" t="s">
        <v>452</v>
      </c>
      <c r="K15" s="459">
        <v>1.6000000000000001E-3</v>
      </c>
      <c r="L15" s="453" t="s">
        <v>453</v>
      </c>
      <c r="M15" s="453" t="s">
        <v>454</v>
      </c>
      <c r="N15" s="461" t="s">
        <v>455</v>
      </c>
    </row>
    <row r="16" spans="1:17">
      <c r="A16" s="436" t="str">
        <f t="shared" si="0"/>
        <v>Scope All-Fuels-Coal - Bituminous</v>
      </c>
      <c r="B16" s="436" t="s">
        <v>447</v>
      </c>
      <c r="C16" s="436" t="s">
        <v>448</v>
      </c>
      <c r="D16" s="436" t="s">
        <v>479</v>
      </c>
      <c r="E16" s="437">
        <v>24.93</v>
      </c>
      <c r="F16" s="437" t="s">
        <v>471</v>
      </c>
      <c r="G16" s="437">
        <v>93.28</v>
      </c>
      <c r="H16" s="437" t="s">
        <v>451</v>
      </c>
      <c r="I16" s="437">
        <v>1.0999999999999999E-2</v>
      </c>
      <c r="J16" s="437" t="s">
        <v>452</v>
      </c>
      <c r="K16" s="437">
        <v>1.6000000000000001E-3</v>
      </c>
      <c r="L16" s="436" t="s">
        <v>453</v>
      </c>
      <c r="M16" s="436" t="s">
        <v>454</v>
      </c>
      <c r="N16" s="438" t="s">
        <v>455</v>
      </c>
      <c r="O16" s="436"/>
      <c r="P16" s="436"/>
      <c r="Q16" s="436"/>
    </row>
    <row r="17" spans="1:17">
      <c r="A17" s="436" t="str">
        <f t="shared" si="0"/>
        <v>Scope All-Fuels-Coal - Coke</v>
      </c>
      <c r="B17" s="436" t="s">
        <v>447</v>
      </c>
      <c r="C17" s="436" t="s">
        <v>448</v>
      </c>
      <c r="D17" s="436" t="s">
        <v>480</v>
      </c>
      <c r="E17" s="437">
        <v>24.8</v>
      </c>
      <c r="F17" s="437" t="s">
        <v>471</v>
      </c>
      <c r="G17" s="437">
        <v>113.67</v>
      </c>
      <c r="H17" s="437" t="s">
        <v>451</v>
      </c>
      <c r="I17" s="437">
        <v>1.0999999999999999E-2</v>
      </c>
      <c r="J17" s="437" t="s">
        <v>452</v>
      </c>
      <c r="K17" s="437">
        <v>1.6000000000000001E-3</v>
      </c>
      <c r="L17" s="436" t="s">
        <v>453</v>
      </c>
      <c r="M17" s="436" t="s">
        <v>454</v>
      </c>
      <c r="N17" s="438" t="s">
        <v>455</v>
      </c>
      <c r="O17" s="436"/>
      <c r="P17" s="436"/>
      <c r="Q17" s="436"/>
    </row>
    <row r="18" spans="1:17">
      <c r="A18" s="436" t="str">
        <f t="shared" si="0"/>
        <v>Scope All-Fuels-Coal - Lignite</v>
      </c>
      <c r="B18" s="436" t="s">
        <v>447</v>
      </c>
      <c r="C18" s="436" t="s">
        <v>448</v>
      </c>
      <c r="D18" s="436" t="s">
        <v>481</v>
      </c>
      <c r="E18" s="437">
        <v>14.21</v>
      </c>
      <c r="F18" s="437" t="s">
        <v>471</v>
      </c>
      <c r="G18" s="437">
        <v>97.27</v>
      </c>
      <c r="H18" s="437" t="s">
        <v>451</v>
      </c>
      <c r="I18" s="437">
        <v>1.0999999999999999E-2</v>
      </c>
      <c r="J18" s="437" t="s">
        <v>452</v>
      </c>
      <c r="K18" s="437">
        <v>1.6000000000000001E-3</v>
      </c>
      <c r="L18" s="436" t="s">
        <v>453</v>
      </c>
      <c r="M18" s="436" t="s">
        <v>454</v>
      </c>
      <c r="N18" s="438" t="s">
        <v>455</v>
      </c>
      <c r="O18" s="436"/>
      <c r="P18" s="436"/>
      <c r="Q18" s="436"/>
    </row>
    <row r="19" spans="1:17">
      <c r="A19" s="436" t="str">
        <f t="shared" si="0"/>
        <v>Scope All-Fuels-Coal - Mixed (Commercial sector)</v>
      </c>
      <c r="B19" s="436" t="s">
        <v>447</v>
      </c>
      <c r="C19" s="436" t="s">
        <v>448</v>
      </c>
      <c r="D19" s="436" t="s">
        <v>482</v>
      </c>
      <c r="E19" s="437">
        <v>21.39</v>
      </c>
      <c r="F19" s="437" t="s">
        <v>471</v>
      </c>
      <c r="G19" s="437">
        <v>94.27</v>
      </c>
      <c r="H19" s="437" t="s">
        <v>451</v>
      </c>
      <c r="I19" s="437">
        <v>1.0999999999999999E-2</v>
      </c>
      <c r="J19" s="437" t="s">
        <v>452</v>
      </c>
      <c r="K19" s="437">
        <v>1.6000000000000001E-3</v>
      </c>
      <c r="L19" s="436" t="s">
        <v>453</v>
      </c>
      <c r="M19" s="436" t="s">
        <v>454</v>
      </c>
      <c r="N19" s="438" t="s">
        <v>455</v>
      </c>
      <c r="O19" s="436"/>
      <c r="P19" s="436"/>
      <c r="Q19" s="436"/>
    </row>
    <row r="20" spans="1:17">
      <c r="A20" s="436" t="str">
        <f t="shared" si="0"/>
        <v>Scope All-Fuels-Coal - Mixed (Electric Power sector)</v>
      </c>
      <c r="B20" s="436" t="s">
        <v>447</v>
      </c>
      <c r="C20" s="436" t="s">
        <v>448</v>
      </c>
      <c r="D20" s="436" t="s">
        <v>483</v>
      </c>
      <c r="E20" s="437">
        <v>19.73</v>
      </c>
      <c r="F20" s="437" t="s">
        <v>471</v>
      </c>
      <c r="G20" s="437">
        <v>95.52</v>
      </c>
      <c r="H20" s="437" t="s">
        <v>451</v>
      </c>
      <c r="I20" s="437">
        <v>1.0999999999999999E-2</v>
      </c>
      <c r="J20" s="437" t="s">
        <v>452</v>
      </c>
      <c r="K20" s="437">
        <v>1.6000000000000001E-3</v>
      </c>
      <c r="L20" s="436" t="s">
        <v>453</v>
      </c>
      <c r="M20" s="436" t="s">
        <v>454</v>
      </c>
      <c r="N20" s="438" t="s">
        <v>455</v>
      </c>
      <c r="O20" s="436"/>
      <c r="P20" s="436"/>
      <c r="Q20" s="436"/>
    </row>
    <row r="21" spans="1:17">
      <c r="A21" s="436" t="str">
        <f t="shared" si="0"/>
        <v>Scope All-Fuels-Coal - Mixed (Industrial coking)</v>
      </c>
      <c r="B21" s="436" t="s">
        <v>447</v>
      </c>
      <c r="C21" s="436" t="s">
        <v>448</v>
      </c>
      <c r="D21" s="436" t="s">
        <v>484</v>
      </c>
      <c r="E21" s="437">
        <v>26.28</v>
      </c>
      <c r="F21" s="437" t="s">
        <v>471</v>
      </c>
      <c r="G21" s="437">
        <v>93.9</v>
      </c>
      <c r="H21" s="437" t="s">
        <v>451</v>
      </c>
      <c r="I21" s="437">
        <v>1.0999999999999999E-2</v>
      </c>
      <c r="J21" s="437" t="s">
        <v>452</v>
      </c>
      <c r="K21" s="437">
        <v>1.6000000000000001E-3</v>
      </c>
      <c r="L21" s="436" t="s">
        <v>453</v>
      </c>
      <c r="M21" s="436" t="s">
        <v>454</v>
      </c>
      <c r="N21" s="438" t="s">
        <v>455</v>
      </c>
      <c r="O21" s="436"/>
      <c r="P21" s="436"/>
      <c r="Q21" s="436"/>
    </row>
    <row r="22" spans="1:17">
      <c r="A22" s="436" t="str">
        <f t="shared" si="0"/>
        <v>Scope All-Fuels-Coal - Mixed (Industrial sector)</v>
      </c>
      <c r="B22" s="436" t="s">
        <v>447</v>
      </c>
      <c r="C22" s="436" t="s">
        <v>448</v>
      </c>
      <c r="D22" s="436" t="s">
        <v>485</v>
      </c>
      <c r="E22" s="437">
        <v>22.35</v>
      </c>
      <c r="F22" s="437" t="s">
        <v>471</v>
      </c>
      <c r="G22" s="437">
        <v>94.67</v>
      </c>
      <c r="H22" s="437" t="s">
        <v>451</v>
      </c>
      <c r="I22" s="437">
        <v>1.0999999999999999E-2</v>
      </c>
      <c r="J22" s="437" t="s">
        <v>452</v>
      </c>
      <c r="K22" s="437">
        <v>1.6000000000000001E-3</v>
      </c>
      <c r="L22" s="436" t="s">
        <v>453</v>
      </c>
      <c r="M22" s="436" t="s">
        <v>454</v>
      </c>
      <c r="N22" s="438" t="s">
        <v>455</v>
      </c>
      <c r="O22" s="436"/>
      <c r="P22" s="436"/>
      <c r="Q22" s="436"/>
    </row>
    <row r="23" spans="1:17">
      <c r="A23" s="436" t="str">
        <f t="shared" si="0"/>
        <v>Scope All-Fuels-Coal - Subbituminous</v>
      </c>
      <c r="B23" s="436" t="s">
        <v>447</v>
      </c>
      <c r="C23" s="436" t="s">
        <v>448</v>
      </c>
      <c r="D23" s="436" t="s">
        <v>486</v>
      </c>
      <c r="E23" s="437">
        <v>17.25</v>
      </c>
      <c r="F23" s="437" t="s">
        <v>471</v>
      </c>
      <c r="G23" s="437">
        <v>97.17</v>
      </c>
      <c r="H23" s="437" t="s">
        <v>451</v>
      </c>
      <c r="I23" s="437">
        <v>1.0999999999999999E-2</v>
      </c>
      <c r="J23" s="437" t="s">
        <v>452</v>
      </c>
      <c r="K23" s="437">
        <v>1.6000000000000001E-3</v>
      </c>
      <c r="L23" s="436" t="s">
        <v>453</v>
      </c>
      <c r="M23" s="436" t="s">
        <v>454</v>
      </c>
      <c r="N23" s="438" t="s">
        <v>455</v>
      </c>
      <c r="O23" s="436"/>
      <c r="P23" s="436"/>
      <c r="Q23" s="436"/>
    </row>
    <row r="24" spans="1:17">
      <c r="A24" s="436" t="str">
        <f t="shared" si="0"/>
        <v>Scope All-Fuels-Coke oven gas - Fossil-derived</v>
      </c>
      <c r="B24" s="436" t="s">
        <v>447</v>
      </c>
      <c r="C24" s="436" t="s">
        <v>448</v>
      </c>
      <c r="D24" s="436" t="s">
        <v>487</v>
      </c>
      <c r="E24" s="437">
        <f>0.599*10^-3</f>
        <v>5.9900000000000003E-4</v>
      </c>
      <c r="F24" s="437" t="s">
        <v>460</v>
      </c>
      <c r="G24" s="437">
        <v>46.85</v>
      </c>
      <c r="H24" s="437" t="s">
        <v>451</v>
      </c>
      <c r="I24" s="437">
        <v>4.7999999999999996E-4</v>
      </c>
      <c r="J24" s="437" t="s">
        <v>452</v>
      </c>
      <c r="K24" s="437">
        <v>1E-4</v>
      </c>
      <c r="L24" s="436" t="s">
        <v>453</v>
      </c>
      <c r="M24" s="436" t="s">
        <v>454</v>
      </c>
      <c r="N24" s="438" t="s">
        <v>455</v>
      </c>
      <c r="O24" s="436"/>
      <c r="P24" s="436"/>
      <c r="Q24" s="436"/>
    </row>
    <row r="25" spans="1:17">
      <c r="A25" s="436" t="str">
        <f t="shared" si="0"/>
        <v>Scope All-Fuels-Crude oil</v>
      </c>
      <c r="B25" s="436" t="s">
        <v>447</v>
      </c>
      <c r="C25" s="436" t="s">
        <v>448</v>
      </c>
      <c r="D25" s="436" t="s">
        <v>488</v>
      </c>
      <c r="E25" s="437">
        <v>0.13800000000000001</v>
      </c>
      <c r="F25" s="437" t="s">
        <v>450</v>
      </c>
      <c r="G25" s="437">
        <v>74.540000000000006</v>
      </c>
      <c r="H25" s="437" t="s">
        <v>451</v>
      </c>
      <c r="I25" s="437">
        <v>3.0000000000000001E-3</v>
      </c>
      <c r="J25" s="437" t="s">
        <v>452</v>
      </c>
      <c r="K25" s="437">
        <v>5.9999999999999995E-4</v>
      </c>
      <c r="L25" s="436" t="s">
        <v>453</v>
      </c>
      <c r="M25" s="436" t="s">
        <v>454</v>
      </c>
      <c r="N25" s="438" t="s">
        <v>455</v>
      </c>
      <c r="O25" s="436"/>
      <c r="P25" s="436"/>
      <c r="Q25" s="436"/>
    </row>
    <row r="26" spans="1:17">
      <c r="A26" s="436" t="str">
        <f t="shared" si="0"/>
        <v>Scope All-Fuels-Distillate Fuel Oil No. 1</v>
      </c>
      <c r="B26" s="436" t="s">
        <v>447</v>
      </c>
      <c r="C26" s="436" t="s">
        <v>448</v>
      </c>
      <c r="D26" s="436" t="s">
        <v>489</v>
      </c>
      <c r="E26" s="437">
        <v>0.13900000000000001</v>
      </c>
      <c r="F26" s="437" t="s">
        <v>450</v>
      </c>
      <c r="G26" s="437">
        <v>73.25</v>
      </c>
      <c r="H26" s="437" t="s">
        <v>451</v>
      </c>
      <c r="I26" s="437">
        <v>3.0000000000000001E-3</v>
      </c>
      <c r="J26" s="437" t="s">
        <v>452</v>
      </c>
      <c r="K26" s="437">
        <v>5.9999999999999995E-4</v>
      </c>
      <c r="L26" s="436" t="s">
        <v>453</v>
      </c>
      <c r="M26" s="436" t="s">
        <v>454</v>
      </c>
      <c r="N26" s="438" t="s">
        <v>455</v>
      </c>
      <c r="O26" s="436"/>
      <c r="P26" s="436"/>
      <c r="Q26" s="436"/>
    </row>
    <row r="27" spans="1:17" s="443" customFormat="1">
      <c r="A27" s="443" t="str">
        <f t="shared" si="0"/>
        <v>Scope All-Fuels-Distillate Fuel Oil No. 2</v>
      </c>
      <c r="B27" s="443" t="s">
        <v>447</v>
      </c>
      <c r="C27" s="443" t="s">
        <v>448</v>
      </c>
      <c r="D27" s="443" t="s">
        <v>490</v>
      </c>
      <c r="E27" s="459">
        <v>0.13800000000000001</v>
      </c>
      <c r="F27" s="459" t="s">
        <v>450</v>
      </c>
      <c r="G27" s="459">
        <v>73.959999999999994</v>
      </c>
      <c r="H27" s="459" t="s">
        <v>451</v>
      </c>
      <c r="I27" s="459">
        <v>3.0000000000000001E-3</v>
      </c>
      <c r="J27" s="459" t="s">
        <v>452</v>
      </c>
      <c r="K27" s="459">
        <v>5.9999999999999995E-4</v>
      </c>
      <c r="L27" s="443" t="s">
        <v>453</v>
      </c>
      <c r="M27" s="443" t="s">
        <v>454</v>
      </c>
      <c r="N27" s="460" t="s">
        <v>455</v>
      </c>
    </row>
    <row r="28" spans="1:17">
      <c r="A28" s="436" t="str">
        <f t="shared" si="0"/>
        <v>Scope All-Fuels-Distillate Fuel Oil No. 4</v>
      </c>
      <c r="B28" s="436" t="s">
        <v>447</v>
      </c>
      <c r="C28" s="436" t="s">
        <v>448</v>
      </c>
      <c r="D28" s="436" t="s">
        <v>491</v>
      </c>
      <c r="E28" s="437">
        <v>0.14599999999999999</v>
      </c>
      <c r="F28" s="437" t="s">
        <v>450</v>
      </c>
      <c r="G28" s="437">
        <v>75.040000000000006</v>
      </c>
      <c r="H28" s="437" t="s">
        <v>451</v>
      </c>
      <c r="I28" s="437">
        <v>3.0000000000000001E-3</v>
      </c>
      <c r="J28" s="437" t="s">
        <v>452</v>
      </c>
      <c r="K28" s="437">
        <v>5.9999999999999995E-4</v>
      </c>
      <c r="L28" s="436" t="s">
        <v>453</v>
      </c>
      <c r="M28" s="436" t="s">
        <v>454</v>
      </c>
      <c r="N28" s="438" t="s">
        <v>455</v>
      </c>
      <c r="O28" s="436"/>
      <c r="P28" s="436"/>
      <c r="Q28" s="436"/>
    </row>
    <row r="29" spans="1:17">
      <c r="A29" s="436" t="str">
        <f t="shared" si="0"/>
        <v>Scope All-Fuels-Ethane</v>
      </c>
      <c r="B29" s="436" t="s">
        <v>447</v>
      </c>
      <c r="C29" s="436" t="s">
        <v>448</v>
      </c>
      <c r="D29" s="436" t="s">
        <v>492</v>
      </c>
      <c r="E29" s="437">
        <v>6.8000000000000005E-2</v>
      </c>
      <c r="F29" s="437" t="s">
        <v>450</v>
      </c>
      <c r="G29" s="437">
        <v>59.6</v>
      </c>
      <c r="H29" s="437" t="s">
        <v>451</v>
      </c>
      <c r="I29" s="437">
        <v>3.0000000000000001E-3</v>
      </c>
      <c r="J29" s="437" t="s">
        <v>452</v>
      </c>
      <c r="K29" s="437">
        <v>5.9999999999999995E-4</v>
      </c>
      <c r="L29" s="436" t="s">
        <v>453</v>
      </c>
      <c r="M29" s="436" t="s">
        <v>454</v>
      </c>
      <c r="N29" s="438" t="s">
        <v>455</v>
      </c>
      <c r="O29" s="436"/>
      <c r="P29" s="436"/>
      <c r="Q29" s="436"/>
    </row>
    <row r="30" spans="1:17">
      <c r="A30" s="436" t="str">
        <f t="shared" si="0"/>
        <v>Scope All-Fuels-Ethanol - E100</v>
      </c>
      <c r="B30" s="436" t="s">
        <v>447</v>
      </c>
      <c r="C30" s="436" t="s">
        <v>448</v>
      </c>
      <c r="D30" s="436" t="s">
        <v>493</v>
      </c>
      <c r="E30" s="436">
        <v>8.4000000000000005E-2</v>
      </c>
      <c r="F30" s="436" t="s">
        <v>450</v>
      </c>
      <c r="G30" s="436">
        <v>68.44</v>
      </c>
      <c r="H30" s="436" t="s">
        <v>451</v>
      </c>
      <c r="I30" s="436">
        <f>1.1*10^-3</f>
        <v>1.1000000000000001E-3</v>
      </c>
      <c r="J30" s="436" t="s">
        <v>452</v>
      </c>
      <c r="K30" s="436">
        <f>1.1*10^-4</f>
        <v>1.1000000000000002E-4</v>
      </c>
      <c r="L30" s="436" t="s">
        <v>453</v>
      </c>
      <c r="M30" s="436" t="s">
        <v>454</v>
      </c>
      <c r="N30" s="438" t="s">
        <v>458</v>
      </c>
      <c r="O30" s="436"/>
      <c r="P30" s="436"/>
      <c r="Q30" s="436"/>
    </row>
    <row r="31" spans="1:17">
      <c r="A31" s="436" t="str">
        <f t="shared" si="0"/>
        <v>Scope All-Fuels-Ethylene</v>
      </c>
      <c r="B31" s="436" t="s">
        <v>447</v>
      </c>
      <c r="C31" s="436" t="s">
        <v>448</v>
      </c>
      <c r="D31" s="436" t="s">
        <v>494</v>
      </c>
      <c r="E31" s="441">
        <v>5.8000000000000003E-2</v>
      </c>
      <c r="F31" s="437" t="s">
        <v>450</v>
      </c>
      <c r="G31" s="437">
        <v>65.959999999999994</v>
      </c>
      <c r="H31" s="437" t="s">
        <v>451</v>
      </c>
      <c r="I31" s="437">
        <v>3.0000000000000001E-3</v>
      </c>
      <c r="J31" s="437" t="s">
        <v>452</v>
      </c>
      <c r="K31" s="437">
        <v>5.9999999999999995E-4</v>
      </c>
      <c r="L31" s="436" t="s">
        <v>453</v>
      </c>
      <c r="M31" s="436" t="s">
        <v>454</v>
      </c>
      <c r="N31" s="438" t="s">
        <v>455</v>
      </c>
      <c r="O31" s="436"/>
      <c r="P31" s="436"/>
      <c r="Q31" s="436"/>
    </row>
    <row r="32" spans="1:17">
      <c r="A32" s="436" t="str">
        <f t="shared" si="0"/>
        <v>Scope All-Fuels-Heavy gas oils</v>
      </c>
      <c r="B32" s="436" t="s">
        <v>447</v>
      </c>
      <c r="C32" s="436" t="s">
        <v>448</v>
      </c>
      <c r="D32" s="436" t="s">
        <v>495</v>
      </c>
      <c r="E32" s="437">
        <v>0.14799999999999999</v>
      </c>
      <c r="F32" s="437" t="s">
        <v>450</v>
      </c>
      <c r="G32" s="437">
        <v>74.92</v>
      </c>
      <c r="H32" s="437" t="s">
        <v>451</v>
      </c>
      <c r="I32" s="437">
        <v>3.0000000000000001E-3</v>
      </c>
      <c r="J32" s="437" t="s">
        <v>452</v>
      </c>
      <c r="K32" s="437">
        <v>5.9999999999999995E-4</v>
      </c>
      <c r="L32" s="436" t="s">
        <v>453</v>
      </c>
      <c r="M32" s="436" t="s">
        <v>454</v>
      </c>
      <c r="N32" s="438" t="s">
        <v>455</v>
      </c>
      <c r="O32" s="436"/>
      <c r="P32" s="436"/>
      <c r="Q32" s="436"/>
    </row>
    <row r="33" spans="1:17">
      <c r="A33" s="436" t="str">
        <f t="shared" si="0"/>
        <v>Scope All-Fuels-Isobutene</v>
      </c>
      <c r="B33" s="436" t="s">
        <v>447</v>
      </c>
      <c r="C33" s="436" t="s">
        <v>448</v>
      </c>
      <c r="D33" s="436" t="s">
        <v>496</v>
      </c>
      <c r="E33" s="437">
        <v>9.9000000000000005E-2</v>
      </c>
      <c r="F33" s="437" t="s">
        <v>450</v>
      </c>
      <c r="G33" s="437">
        <v>64.94</v>
      </c>
      <c r="H33" s="437" t="s">
        <v>451</v>
      </c>
      <c r="I33" s="437">
        <v>3.0000000000000001E-3</v>
      </c>
      <c r="J33" s="437" t="s">
        <v>452</v>
      </c>
      <c r="K33" s="437">
        <v>5.9999999999999995E-4</v>
      </c>
      <c r="L33" s="436" t="s">
        <v>453</v>
      </c>
      <c r="M33" s="436" t="s">
        <v>454</v>
      </c>
      <c r="N33" s="438" t="s">
        <v>455</v>
      </c>
      <c r="O33" s="436"/>
      <c r="P33" s="436"/>
      <c r="Q33" s="436"/>
    </row>
    <row r="34" spans="1:17">
      <c r="A34" s="436" t="str">
        <f t="shared" si="0"/>
        <v>Scope All-Fuels-Isobutylene</v>
      </c>
      <c r="B34" s="436" t="s">
        <v>447</v>
      </c>
      <c r="C34" s="436" t="s">
        <v>448</v>
      </c>
      <c r="D34" s="436" t="s">
        <v>497</v>
      </c>
      <c r="E34" s="437">
        <v>0.10299999999999999</v>
      </c>
      <c r="F34" s="437" t="s">
        <v>450</v>
      </c>
      <c r="G34" s="437">
        <v>68.86</v>
      </c>
      <c r="H34" s="437" t="s">
        <v>451</v>
      </c>
      <c r="I34" s="437">
        <v>3.0000000000000001E-3</v>
      </c>
      <c r="J34" s="437" t="s">
        <v>452</v>
      </c>
      <c r="K34" s="437">
        <v>5.9999999999999995E-4</v>
      </c>
      <c r="L34" s="436" t="s">
        <v>453</v>
      </c>
      <c r="M34" s="436" t="s">
        <v>454</v>
      </c>
      <c r="N34" s="438" t="s">
        <v>455</v>
      </c>
      <c r="O34" s="436"/>
      <c r="P34" s="436"/>
      <c r="Q34" s="436"/>
    </row>
    <row r="35" spans="1:17">
      <c r="A35" s="436" t="str">
        <f t="shared" si="0"/>
        <v>Scope All-Fuels-Kerosene</v>
      </c>
      <c r="B35" s="436" t="s">
        <v>447</v>
      </c>
      <c r="C35" s="436" t="s">
        <v>448</v>
      </c>
      <c r="D35" s="436" t="s">
        <v>498</v>
      </c>
      <c r="E35" s="437">
        <v>0.13500000000000001</v>
      </c>
      <c r="F35" s="437" t="s">
        <v>450</v>
      </c>
      <c r="G35" s="437">
        <v>75.2</v>
      </c>
      <c r="H35" s="437" t="s">
        <v>451</v>
      </c>
      <c r="I35" s="437">
        <v>3.0000000000000001E-3</v>
      </c>
      <c r="J35" s="437" t="s">
        <v>452</v>
      </c>
      <c r="K35" s="437">
        <v>5.9999999999999995E-4</v>
      </c>
      <c r="L35" s="436" t="s">
        <v>453</v>
      </c>
      <c r="M35" s="436" t="s">
        <v>454</v>
      </c>
      <c r="N35" s="438" t="s">
        <v>455</v>
      </c>
      <c r="O35" s="436"/>
      <c r="P35" s="436"/>
      <c r="Q35" s="436"/>
    </row>
    <row r="36" spans="1:17">
      <c r="A36" s="436" t="str">
        <f t="shared" si="0"/>
        <v>Scope All-Fuels-Kerosene-type jet fuel</v>
      </c>
      <c r="B36" s="436" t="s">
        <v>447</v>
      </c>
      <c r="C36" s="436" t="s">
        <v>448</v>
      </c>
      <c r="D36" s="436" t="s">
        <v>499</v>
      </c>
      <c r="E36" s="437">
        <v>0.13500000000000001</v>
      </c>
      <c r="F36" s="437" t="s">
        <v>450</v>
      </c>
      <c r="G36" s="442">
        <v>72.22</v>
      </c>
      <c r="H36" s="437" t="s">
        <v>451</v>
      </c>
      <c r="I36" s="437">
        <v>3.0000000000000001E-3</v>
      </c>
      <c r="J36" s="437" t="s">
        <v>452</v>
      </c>
      <c r="K36" s="437">
        <v>5.9999999999999995E-4</v>
      </c>
      <c r="L36" s="436" t="s">
        <v>453</v>
      </c>
      <c r="M36" s="436" t="s">
        <v>454</v>
      </c>
      <c r="N36" s="438" t="s">
        <v>455</v>
      </c>
      <c r="O36" s="436"/>
      <c r="P36" s="436"/>
      <c r="Q36" s="436"/>
    </row>
    <row r="37" spans="1:17">
      <c r="A37" s="436" t="str">
        <f t="shared" si="0"/>
        <v>Scope All-Fuels-Liquefied petroleum gases (LPG)</v>
      </c>
      <c r="B37" s="436" t="s">
        <v>447</v>
      </c>
      <c r="C37" s="437" t="s">
        <v>448</v>
      </c>
      <c r="D37" s="436" t="s">
        <v>500</v>
      </c>
      <c r="E37" s="437">
        <v>9.1999999999999998E-2</v>
      </c>
      <c r="F37" s="437" t="s">
        <v>450</v>
      </c>
      <c r="G37" s="437">
        <v>61.71</v>
      </c>
      <c r="H37" s="437" t="s">
        <v>451</v>
      </c>
      <c r="I37" s="437">
        <v>3.0000000000000001E-3</v>
      </c>
      <c r="J37" s="437" t="s">
        <v>452</v>
      </c>
      <c r="K37" s="437">
        <v>5.9999999999999995E-4</v>
      </c>
      <c r="L37" s="436" t="s">
        <v>453</v>
      </c>
      <c r="M37" s="436" t="s">
        <v>454</v>
      </c>
      <c r="N37" s="438" t="s">
        <v>455</v>
      </c>
      <c r="O37" s="436"/>
      <c r="P37" s="436"/>
      <c r="Q37" s="436"/>
    </row>
    <row r="38" spans="1:17">
      <c r="A38" s="436" t="str">
        <f t="shared" si="0"/>
        <v>Scope All-Fuels-Lubricants</v>
      </c>
      <c r="B38" s="436" t="s">
        <v>447</v>
      </c>
      <c r="C38" s="436" t="s">
        <v>448</v>
      </c>
      <c r="D38" s="436" t="s">
        <v>501</v>
      </c>
      <c r="E38" s="437">
        <v>0.14399999999999999</v>
      </c>
      <c r="F38" s="437" t="s">
        <v>450</v>
      </c>
      <c r="G38" s="437">
        <v>74.27</v>
      </c>
      <c r="H38" s="437" t="s">
        <v>451</v>
      </c>
      <c r="I38" s="437">
        <v>3.0000000000000001E-3</v>
      </c>
      <c r="J38" s="437" t="s">
        <v>452</v>
      </c>
      <c r="K38" s="437">
        <v>5.9999999999999995E-4</v>
      </c>
      <c r="L38" s="436" t="s">
        <v>453</v>
      </c>
      <c r="M38" s="436" t="s">
        <v>454</v>
      </c>
      <c r="N38" s="438" t="s">
        <v>455</v>
      </c>
      <c r="O38" s="436"/>
      <c r="P38" s="436"/>
      <c r="Q38" s="436"/>
    </row>
    <row r="39" spans="1:17" s="443" customFormat="1">
      <c r="A39" s="443" t="str">
        <f t="shared" si="0"/>
        <v>Scope All-Fuels-Motor gasoline</v>
      </c>
      <c r="B39" s="443" t="s">
        <v>447</v>
      </c>
      <c r="C39" s="443" t="s">
        <v>448</v>
      </c>
      <c r="D39" s="443" t="s">
        <v>502</v>
      </c>
      <c r="E39" s="459">
        <v>0.125</v>
      </c>
      <c r="F39" s="459" t="s">
        <v>450</v>
      </c>
      <c r="G39" s="459">
        <v>70.22</v>
      </c>
      <c r="H39" s="459" t="s">
        <v>451</v>
      </c>
      <c r="I39" s="459">
        <v>3.0000000000000001E-3</v>
      </c>
      <c r="J39" s="459" t="s">
        <v>452</v>
      </c>
      <c r="K39" s="459">
        <v>5.9999999999999995E-4</v>
      </c>
      <c r="L39" s="443" t="s">
        <v>453</v>
      </c>
      <c r="M39" s="443" t="s">
        <v>454</v>
      </c>
      <c r="N39" s="460" t="s">
        <v>455</v>
      </c>
    </row>
    <row r="40" spans="1:17">
      <c r="A40" s="436" t="str">
        <f t="shared" si="0"/>
        <v>Scope All-Fuels-Municipal solid waste - Fossil-derived</v>
      </c>
      <c r="B40" s="436" t="s">
        <v>447</v>
      </c>
      <c r="C40" s="436" t="s">
        <v>448</v>
      </c>
      <c r="D40" s="437" t="s">
        <v>503</v>
      </c>
      <c r="E40" s="437">
        <v>9.9499999999999993</v>
      </c>
      <c r="F40" s="437" t="s">
        <v>471</v>
      </c>
      <c r="G40" s="437">
        <v>90.7</v>
      </c>
      <c r="H40" s="437" t="s">
        <v>451</v>
      </c>
      <c r="I40" s="437">
        <v>3.2000000000000001E-2</v>
      </c>
      <c r="J40" s="437" t="s">
        <v>452</v>
      </c>
      <c r="K40" s="437">
        <v>4.2000000000000006E-3</v>
      </c>
      <c r="L40" s="436" t="s">
        <v>453</v>
      </c>
      <c r="M40" s="436" t="s">
        <v>454</v>
      </c>
      <c r="N40" s="438" t="s">
        <v>455</v>
      </c>
      <c r="O40" s="436"/>
      <c r="P40" s="436"/>
      <c r="Q40" s="436"/>
    </row>
    <row r="41" spans="1:17">
      <c r="A41" s="436" t="str">
        <f t="shared" si="0"/>
        <v>Scope All-Fuels-Naphtha - &lt;401 degrees F</v>
      </c>
      <c r="B41" s="436" t="s">
        <v>447</v>
      </c>
      <c r="C41" s="436" t="s">
        <v>448</v>
      </c>
      <c r="D41" s="437" t="s">
        <v>504</v>
      </c>
      <c r="E41" s="437">
        <v>0.125</v>
      </c>
      <c r="F41" s="437" t="s">
        <v>450</v>
      </c>
      <c r="G41" s="437">
        <v>68.02</v>
      </c>
      <c r="H41" s="437" t="s">
        <v>451</v>
      </c>
      <c r="I41" s="437">
        <v>3.0000000000000001E-3</v>
      </c>
      <c r="J41" s="437" t="s">
        <v>452</v>
      </c>
      <c r="K41" s="437">
        <v>5.9999999999999995E-4</v>
      </c>
      <c r="L41" s="436" t="s">
        <v>453</v>
      </c>
      <c r="M41" s="436" t="s">
        <v>454</v>
      </c>
      <c r="N41" s="438" t="s">
        <v>455</v>
      </c>
      <c r="O41" s="436"/>
      <c r="P41" s="436"/>
      <c r="Q41" s="436"/>
    </row>
    <row r="42" spans="1:17" s="443" customFormat="1">
      <c r="A42" s="443" t="str">
        <f t="shared" si="0"/>
        <v>Scope All-Fuels-Natural Gas</v>
      </c>
      <c r="B42" s="443" t="s">
        <v>447</v>
      </c>
      <c r="C42" s="443" t="s">
        <v>448</v>
      </c>
      <c r="D42" s="443" t="s">
        <v>45</v>
      </c>
      <c r="E42" s="459">
        <f>1.026*10^-3</f>
        <v>1.026E-3</v>
      </c>
      <c r="F42" s="459" t="s">
        <v>460</v>
      </c>
      <c r="G42" s="459">
        <v>53.06</v>
      </c>
      <c r="H42" s="459" t="s">
        <v>451</v>
      </c>
      <c r="I42" s="459">
        <v>1E-3</v>
      </c>
      <c r="J42" s="459" t="s">
        <v>452</v>
      </c>
      <c r="K42" s="459">
        <v>1E-4</v>
      </c>
      <c r="L42" s="443" t="s">
        <v>453</v>
      </c>
      <c r="M42" s="443" t="s">
        <v>454</v>
      </c>
      <c r="N42" s="460" t="s">
        <v>455</v>
      </c>
    </row>
    <row r="43" spans="1:17">
      <c r="A43" s="436" t="str">
        <f t="shared" si="0"/>
        <v>Scope All-Fuels-Natural gasoline</v>
      </c>
      <c r="B43" s="436" t="s">
        <v>447</v>
      </c>
      <c r="C43" s="436" t="s">
        <v>448</v>
      </c>
      <c r="D43" s="436" t="s">
        <v>505</v>
      </c>
      <c r="E43" s="437">
        <v>0.11</v>
      </c>
      <c r="F43" s="437" t="s">
        <v>450</v>
      </c>
      <c r="G43" s="437">
        <v>66.88</v>
      </c>
      <c r="H43" s="437" t="s">
        <v>451</v>
      </c>
      <c r="I43" s="437">
        <v>3.0000000000000001E-3</v>
      </c>
      <c r="J43" s="437" t="s">
        <v>452</v>
      </c>
      <c r="K43" s="437">
        <v>5.9999999999999995E-4</v>
      </c>
      <c r="L43" s="436" t="s">
        <v>453</v>
      </c>
      <c r="M43" s="436" t="s">
        <v>454</v>
      </c>
      <c r="N43" s="438" t="s">
        <v>455</v>
      </c>
      <c r="O43" s="436"/>
      <c r="P43" s="436"/>
      <c r="Q43" s="436"/>
    </row>
    <row r="44" spans="1:17">
      <c r="A44" s="436" t="str">
        <f t="shared" si="0"/>
        <v>Scope All-Fuels-Other oil (&gt;401 degrees F)</v>
      </c>
      <c r="B44" s="436" t="s">
        <v>447</v>
      </c>
      <c r="C44" s="436" t="s">
        <v>448</v>
      </c>
      <c r="D44" s="436" t="s">
        <v>506</v>
      </c>
      <c r="E44" s="437">
        <v>0.13900000000000001</v>
      </c>
      <c r="F44" s="437" t="s">
        <v>450</v>
      </c>
      <c r="G44" s="437">
        <v>76.22</v>
      </c>
      <c r="H44" s="437" t="s">
        <v>451</v>
      </c>
      <c r="I44" s="437">
        <v>3.0000000000000001E-3</v>
      </c>
      <c r="J44" s="437" t="s">
        <v>452</v>
      </c>
      <c r="K44" s="437">
        <v>5.9999999999999995E-4</v>
      </c>
      <c r="L44" s="436" t="s">
        <v>453</v>
      </c>
      <c r="M44" s="436" t="s">
        <v>454</v>
      </c>
      <c r="N44" s="438" t="s">
        <v>455</v>
      </c>
      <c r="O44" s="436"/>
      <c r="P44" s="436"/>
      <c r="Q44" s="436"/>
    </row>
    <row r="45" spans="1:17">
      <c r="A45" s="436" t="str">
        <f t="shared" si="0"/>
        <v>Scope All-Fuels-Pentanes plus</v>
      </c>
      <c r="B45" s="436" t="s">
        <v>447</v>
      </c>
      <c r="C45" s="436" t="s">
        <v>448</v>
      </c>
      <c r="D45" s="436" t="s">
        <v>507</v>
      </c>
      <c r="E45" s="437">
        <v>0.11</v>
      </c>
      <c r="F45" s="437" t="s">
        <v>450</v>
      </c>
      <c r="G45" s="437">
        <v>70.02</v>
      </c>
      <c r="H45" s="437" t="s">
        <v>451</v>
      </c>
      <c r="I45" s="437">
        <v>3.0000000000000001E-3</v>
      </c>
      <c r="J45" s="437" t="s">
        <v>452</v>
      </c>
      <c r="K45" s="437">
        <v>5.9999999999999995E-4</v>
      </c>
      <c r="L45" s="436" t="s">
        <v>453</v>
      </c>
      <c r="M45" s="436" t="s">
        <v>454</v>
      </c>
      <c r="N45" s="438" t="s">
        <v>455</v>
      </c>
      <c r="O45" s="436"/>
      <c r="P45" s="436"/>
      <c r="Q45" s="436"/>
    </row>
    <row r="46" spans="1:17">
      <c r="A46" s="436" t="str">
        <f t="shared" si="0"/>
        <v>Scope All-Fuels-Petrochemical feedstocks</v>
      </c>
      <c r="B46" s="436" t="s">
        <v>447</v>
      </c>
      <c r="C46" s="436" t="s">
        <v>448</v>
      </c>
      <c r="D46" s="436" t="s">
        <v>508</v>
      </c>
      <c r="E46" s="437">
        <v>0.125</v>
      </c>
      <c r="F46" s="437" t="s">
        <v>450</v>
      </c>
      <c r="G46" s="437">
        <v>71.02</v>
      </c>
      <c r="H46" s="437" t="s">
        <v>451</v>
      </c>
      <c r="I46" s="437">
        <v>3.0000000000000001E-3</v>
      </c>
      <c r="J46" s="437" t="s">
        <v>452</v>
      </c>
      <c r="K46" s="437">
        <v>5.9999999999999995E-4</v>
      </c>
      <c r="L46" s="436" t="s">
        <v>453</v>
      </c>
      <c r="M46" s="436" t="s">
        <v>454</v>
      </c>
      <c r="N46" s="438" t="s">
        <v>455</v>
      </c>
      <c r="O46" s="436"/>
      <c r="P46" s="436"/>
      <c r="Q46" s="436"/>
    </row>
    <row r="47" spans="1:17">
      <c r="A47" s="436" t="str">
        <f t="shared" si="0"/>
        <v>Scope All-Fuels-Petroleum coke</v>
      </c>
      <c r="B47" s="436" t="s">
        <v>447</v>
      </c>
      <c r="C47" s="436" t="s">
        <v>448</v>
      </c>
      <c r="D47" s="436" t="s">
        <v>509</v>
      </c>
      <c r="E47" s="437">
        <v>0.14299999999999999</v>
      </c>
      <c r="F47" s="437" t="s">
        <v>450</v>
      </c>
      <c r="G47" s="437">
        <v>102.41</v>
      </c>
      <c r="H47" s="437" t="s">
        <v>451</v>
      </c>
      <c r="I47" s="437">
        <v>3.0000000000000001E-3</v>
      </c>
      <c r="J47" s="437" t="s">
        <v>452</v>
      </c>
      <c r="K47" s="437">
        <v>5.9999999999999995E-4</v>
      </c>
      <c r="L47" s="436" t="s">
        <v>453</v>
      </c>
      <c r="M47" s="436" t="s">
        <v>454</v>
      </c>
      <c r="N47" s="438" t="s">
        <v>455</v>
      </c>
      <c r="O47" s="436"/>
      <c r="P47" s="436"/>
      <c r="Q47" s="436"/>
    </row>
    <row r="48" spans="1:17" s="443" customFormat="1">
      <c r="A48" s="443" t="str">
        <f t="shared" si="0"/>
        <v>Scope All-Fuels-Propane</v>
      </c>
      <c r="B48" s="443" t="s">
        <v>447</v>
      </c>
      <c r="C48" s="443" t="s">
        <v>448</v>
      </c>
      <c r="D48" s="443" t="s">
        <v>510</v>
      </c>
      <c r="E48" s="459">
        <v>9.0999999999999998E-2</v>
      </c>
      <c r="F48" s="459" t="s">
        <v>450</v>
      </c>
      <c r="G48" s="459">
        <v>62.87</v>
      </c>
      <c r="H48" s="459" t="s">
        <v>451</v>
      </c>
      <c r="I48" s="459">
        <v>3.0000000000000001E-3</v>
      </c>
      <c r="J48" s="459" t="s">
        <v>452</v>
      </c>
      <c r="K48" s="459">
        <v>5.9999999999999995E-4</v>
      </c>
      <c r="L48" s="443" t="s">
        <v>453</v>
      </c>
      <c r="M48" s="443" t="s">
        <v>454</v>
      </c>
      <c r="N48" s="460" t="s">
        <v>455</v>
      </c>
    </row>
    <row r="49" spans="1:17">
      <c r="A49" s="436" t="str">
        <f t="shared" si="0"/>
        <v>Scope All-Fuels-Propylene</v>
      </c>
      <c r="B49" s="436" t="s">
        <v>447</v>
      </c>
      <c r="C49" s="436" t="s">
        <v>448</v>
      </c>
      <c r="D49" s="436" t="s">
        <v>511</v>
      </c>
      <c r="E49" s="437">
        <v>9.0999999999999998E-2</v>
      </c>
      <c r="F49" s="437" t="s">
        <v>450</v>
      </c>
      <c r="G49" s="440">
        <v>67.77</v>
      </c>
      <c r="H49" s="437" t="s">
        <v>451</v>
      </c>
      <c r="I49" s="437">
        <v>3.0000000000000001E-3</v>
      </c>
      <c r="J49" s="437" t="s">
        <v>452</v>
      </c>
      <c r="K49" s="437">
        <v>5.9999999999999995E-4</v>
      </c>
      <c r="L49" s="436" t="s">
        <v>453</v>
      </c>
      <c r="M49" s="436" t="s">
        <v>454</v>
      </c>
      <c r="N49" s="438" t="s">
        <v>455</v>
      </c>
      <c r="O49" s="436"/>
      <c r="P49" s="436"/>
      <c r="Q49" s="436"/>
    </row>
    <row r="50" spans="1:17">
      <c r="A50" s="436" t="str">
        <f t="shared" si="0"/>
        <v>Scope All-Fuels-Rendered animal fat</v>
      </c>
      <c r="B50" s="436" t="s">
        <v>447</v>
      </c>
      <c r="C50" s="436" t="s">
        <v>448</v>
      </c>
      <c r="D50" s="436" t="s">
        <v>512</v>
      </c>
      <c r="E50" s="436">
        <v>0.125</v>
      </c>
      <c r="F50" s="436" t="s">
        <v>450</v>
      </c>
      <c r="G50" s="436">
        <v>71.06</v>
      </c>
      <c r="H50" s="436" t="s">
        <v>451</v>
      </c>
      <c r="I50" s="436">
        <f>1.1*10^-3</f>
        <v>1.1000000000000001E-3</v>
      </c>
      <c r="J50" s="436" t="s">
        <v>452</v>
      </c>
      <c r="K50" s="436">
        <f>1.1*10^-4</f>
        <v>1.1000000000000002E-4</v>
      </c>
      <c r="L50" s="436" t="s">
        <v>453</v>
      </c>
      <c r="M50" s="436" t="s">
        <v>454</v>
      </c>
      <c r="N50" s="438" t="s">
        <v>458</v>
      </c>
      <c r="O50" s="436"/>
      <c r="P50" s="436"/>
      <c r="Q50" s="436"/>
    </row>
    <row r="51" spans="1:17">
      <c r="A51" s="436" t="str">
        <f t="shared" si="0"/>
        <v>Scope All-Fuels-Residual  Fuel Oil No. 6</v>
      </c>
      <c r="B51" s="436" t="s">
        <v>447</v>
      </c>
      <c r="C51" s="436" t="s">
        <v>448</v>
      </c>
      <c r="D51" s="437" t="s">
        <v>513</v>
      </c>
      <c r="E51" s="437">
        <v>0.15</v>
      </c>
      <c r="F51" s="437" t="s">
        <v>450</v>
      </c>
      <c r="G51" s="437">
        <v>75.099999999999994</v>
      </c>
      <c r="H51" s="437" t="s">
        <v>451</v>
      </c>
      <c r="I51" s="437">
        <v>3.0000000000000001E-3</v>
      </c>
      <c r="J51" s="437" t="s">
        <v>452</v>
      </c>
      <c r="K51" s="437">
        <v>5.9999999999999995E-4</v>
      </c>
      <c r="L51" s="436" t="s">
        <v>453</v>
      </c>
      <c r="M51" s="436" t="s">
        <v>454</v>
      </c>
      <c r="N51" s="438" t="s">
        <v>455</v>
      </c>
      <c r="O51" s="436"/>
      <c r="P51" s="436"/>
      <c r="Q51" s="436"/>
    </row>
    <row r="52" spans="1:17">
      <c r="A52" s="436" t="str">
        <f t="shared" si="0"/>
        <v>Scope All-Fuels-Residual Fuel Oil No. 5</v>
      </c>
      <c r="B52" s="436" t="s">
        <v>447</v>
      </c>
      <c r="C52" s="436" t="s">
        <v>448</v>
      </c>
      <c r="D52" s="437" t="s">
        <v>514</v>
      </c>
      <c r="E52" s="437">
        <v>0.14000000000000001</v>
      </c>
      <c r="F52" s="437" t="s">
        <v>450</v>
      </c>
      <c r="G52" s="437">
        <v>72.930000000000007</v>
      </c>
      <c r="H52" s="437" t="s">
        <v>451</v>
      </c>
      <c r="I52" s="437">
        <v>3.0000000000000001E-3</v>
      </c>
      <c r="J52" s="437" t="s">
        <v>452</v>
      </c>
      <c r="K52" s="437">
        <v>5.9999999999999995E-4</v>
      </c>
      <c r="L52" s="436" t="s">
        <v>453</v>
      </c>
      <c r="M52" s="436" t="s">
        <v>454</v>
      </c>
      <c r="N52" s="438" t="s">
        <v>455</v>
      </c>
      <c r="O52" s="436"/>
      <c r="P52" s="436"/>
      <c r="Q52" s="436"/>
    </row>
    <row r="53" spans="1:17">
      <c r="A53" s="436" t="str">
        <f t="shared" si="0"/>
        <v>Scope All-Fuels-Special naphtha</v>
      </c>
      <c r="B53" s="436" t="s">
        <v>447</v>
      </c>
      <c r="C53" s="436" t="s">
        <v>448</v>
      </c>
      <c r="D53" s="436" t="s">
        <v>515</v>
      </c>
      <c r="E53" s="437">
        <v>0.125</v>
      </c>
      <c r="F53" s="437" t="s">
        <v>450</v>
      </c>
      <c r="G53" s="437">
        <v>72.34</v>
      </c>
      <c r="H53" s="437" t="s">
        <v>451</v>
      </c>
      <c r="I53" s="437">
        <v>3.0000000000000001E-3</v>
      </c>
      <c r="J53" s="437" t="s">
        <v>452</v>
      </c>
      <c r="K53" s="437">
        <v>5.9999999999999995E-4</v>
      </c>
      <c r="L53" s="436" t="s">
        <v>453</v>
      </c>
      <c r="M53" s="436" t="s">
        <v>454</v>
      </c>
      <c r="N53" s="438" t="s">
        <v>455</v>
      </c>
      <c r="O53" s="436"/>
      <c r="P53" s="436"/>
      <c r="Q53" s="436"/>
    </row>
    <row r="54" spans="1:17">
      <c r="A54" s="436" t="str">
        <f t="shared" si="0"/>
        <v>Scope All-Fuels-Still gas</v>
      </c>
      <c r="B54" s="436" t="s">
        <v>447</v>
      </c>
      <c r="C54" s="436" t="s">
        <v>448</v>
      </c>
      <c r="D54" s="436" t="s">
        <v>516</v>
      </c>
      <c r="E54" s="437">
        <v>0.14299999999999999</v>
      </c>
      <c r="F54" s="437" t="s">
        <v>450</v>
      </c>
      <c r="G54" s="437">
        <v>66.72</v>
      </c>
      <c r="H54" s="437" t="s">
        <v>451</v>
      </c>
      <c r="I54" s="437">
        <v>3.0000000000000001E-3</v>
      </c>
      <c r="J54" s="437" t="s">
        <v>452</v>
      </c>
      <c r="K54" s="437">
        <v>5.9999999999999995E-4</v>
      </c>
      <c r="L54" s="436" t="s">
        <v>453</v>
      </c>
      <c r="M54" s="436" t="s">
        <v>454</v>
      </c>
      <c r="N54" s="438" t="s">
        <v>455</v>
      </c>
      <c r="O54" s="436"/>
      <c r="P54" s="436"/>
      <c r="Q54" s="436"/>
    </row>
    <row r="55" spans="1:17">
      <c r="A55" s="436" t="str">
        <f t="shared" si="0"/>
        <v>Scope All-Fuels-Tires - Fossil-derived</v>
      </c>
      <c r="B55" s="436" t="s">
        <v>447</v>
      </c>
      <c r="C55" s="436" t="s">
        <v>448</v>
      </c>
      <c r="D55" s="437" t="s">
        <v>517</v>
      </c>
      <c r="E55" s="437">
        <v>28</v>
      </c>
      <c r="F55" s="437" t="s">
        <v>471</v>
      </c>
      <c r="G55" s="437">
        <v>85.97</v>
      </c>
      <c r="H55" s="437" t="s">
        <v>451</v>
      </c>
      <c r="I55" s="437">
        <v>3.2000000000000001E-2</v>
      </c>
      <c r="J55" s="437" t="s">
        <v>452</v>
      </c>
      <c r="K55" s="437">
        <v>4.2000000000000006E-3</v>
      </c>
      <c r="L55" s="436" t="s">
        <v>453</v>
      </c>
      <c r="M55" s="436" t="s">
        <v>454</v>
      </c>
      <c r="N55" s="438" t="s">
        <v>455</v>
      </c>
      <c r="O55" s="436"/>
      <c r="P55" s="436"/>
      <c r="Q55" s="436"/>
    </row>
    <row r="56" spans="1:17">
      <c r="A56" s="436" t="str">
        <f t="shared" si="0"/>
        <v>Scope All-Fuels-Unfinished oils</v>
      </c>
      <c r="B56" s="436" t="s">
        <v>447</v>
      </c>
      <c r="C56" s="436" t="s">
        <v>448</v>
      </c>
      <c r="D56" s="436" t="s">
        <v>518</v>
      </c>
      <c r="E56" s="437">
        <v>0.13900000000000001</v>
      </c>
      <c r="F56" s="437" t="s">
        <v>450</v>
      </c>
      <c r="G56" s="437">
        <v>74.540000000000006</v>
      </c>
      <c r="H56" s="437" t="s">
        <v>451</v>
      </c>
      <c r="I56" s="437">
        <v>3.0000000000000001E-3</v>
      </c>
      <c r="J56" s="437" t="s">
        <v>452</v>
      </c>
      <c r="K56" s="437">
        <v>5.9999999999999995E-4</v>
      </c>
      <c r="L56" s="436" t="s">
        <v>453</v>
      </c>
      <c r="M56" s="436" t="s">
        <v>454</v>
      </c>
      <c r="N56" s="438" t="s">
        <v>455</v>
      </c>
      <c r="O56" s="436"/>
      <c r="P56" s="436"/>
      <c r="Q56" s="436"/>
    </row>
    <row r="57" spans="1:17">
      <c r="A57" s="436" t="str">
        <f t="shared" si="0"/>
        <v>Scope All-Fuels-Vegetable oil</v>
      </c>
      <c r="B57" s="436" t="s">
        <v>447</v>
      </c>
      <c r="C57" s="436" t="s">
        <v>448</v>
      </c>
      <c r="D57" s="436" t="s">
        <v>519</v>
      </c>
      <c r="E57" s="436">
        <v>0.12</v>
      </c>
      <c r="F57" s="436" t="s">
        <v>450</v>
      </c>
      <c r="G57" s="436">
        <v>81.55</v>
      </c>
      <c r="H57" s="436" t="s">
        <v>451</v>
      </c>
      <c r="I57" s="436">
        <f>1.1*10^-3</f>
        <v>1.1000000000000001E-3</v>
      </c>
      <c r="J57" s="436" t="s">
        <v>452</v>
      </c>
      <c r="K57" s="436">
        <f>1.1*10^-4</f>
        <v>1.1000000000000002E-4</v>
      </c>
      <c r="L57" s="436" t="s">
        <v>453</v>
      </c>
      <c r="M57" s="436" t="s">
        <v>454</v>
      </c>
      <c r="N57" s="438" t="s">
        <v>458</v>
      </c>
      <c r="O57" s="436"/>
      <c r="P57" s="436"/>
      <c r="Q57" s="436"/>
    </row>
    <row r="58" spans="1:17" s="443" customFormat="1">
      <c r="D58" s="443" t="s">
        <v>520</v>
      </c>
      <c r="F58" s="443" t="s">
        <v>450</v>
      </c>
      <c r="G58" s="443">
        <f>0.0310978401686882*1000</f>
        <v>31.097840168688201</v>
      </c>
      <c r="H58" s="443" t="s">
        <v>451</v>
      </c>
      <c r="I58" s="462">
        <v>9.5895594137094696E-4</v>
      </c>
      <c r="J58" s="443" t="s">
        <v>452</v>
      </c>
      <c r="K58" s="462">
        <v>7.2456688810733404E-4</v>
      </c>
      <c r="L58" s="443" t="s">
        <v>453</v>
      </c>
      <c r="N58" s="443" t="s">
        <v>521</v>
      </c>
    </row>
    <row r="59" spans="1:17" s="443" customFormat="1">
      <c r="D59" s="443" t="s">
        <v>522</v>
      </c>
      <c r="F59" s="443" t="s">
        <v>450</v>
      </c>
      <c r="G59" s="443">
        <v>98.259259259259196</v>
      </c>
      <c r="H59" s="443" t="s">
        <v>451</v>
      </c>
      <c r="I59" s="443">
        <v>1.85185185185185E-3</v>
      </c>
      <c r="J59" s="443" t="s">
        <v>452</v>
      </c>
      <c r="K59" s="463">
        <v>1.8518518518518501E-4</v>
      </c>
      <c r="L59" s="443" t="s">
        <v>453</v>
      </c>
      <c r="N59" s="443" t="s">
        <v>45</v>
      </c>
    </row>
    <row r="60" spans="1:17" s="443" customFormat="1">
      <c r="D60" s="443" t="s">
        <v>523</v>
      </c>
      <c r="F60" s="443" t="s">
        <v>450</v>
      </c>
      <c r="G60" s="443">
        <v>88.18</v>
      </c>
      <c r="H60" s="443" t="s">
        <v>451</v>
      </c>
      <c r="I60" s="443">
        <f>8.169/1000</f>
        <v>8.1690000000000009E-3</v>
      </c>
      <c r="J60" s="443" t="s">
        <v>452</v>
      </c>
      <c r="K60" s="464">
        <f>0.603/1000</f>
        <v>6.0300000000000002E-4</v>
      </c>
      <c r="L60" s="443" t="s">
        <v>453</v>
      </c>
    </row>
    <row r="61" spans="1:17" s="443" customFormat="1">
      <c r="A61" s="443" t="s">
        <v>524</v>
      </c>
      <c r="D61" s="443" t="s">
        <v>331</v>
      </c>
      <c r="F61" s="443" t="s">
        <v>525</v>
      </c>
      <c r="G61" s="443">
        <v>0</v>
      </c>
      <c r="H61" s="443" t="s">
        <v>451</v>
      </c>
      <c r="I61" s="443">
        <v>0</v>
      </c>
      <c r="J61" s="443" t="s">
        <v>452</v>
      </c>
      <c r="K61" s="443">
        <v>0</v>
      </c>
      <c r="L61" s="443" t="s">
        <v>453</v>
      </c>
    </row>
    <row r="64" spans="1:17">
      <c r="A64" s="348" t="s">
        <v>594</v>
      </c>
    </row>
    <row r="66" spans="1:1">
      <c r="A66" s="348"/>
    </row>
  </sheetData>
  <sheetProtection algorithmName="SHA-512" hashValue="UfeCSUyh7gVXk1DtBAW3568V+ZG72dDZFdUMaJLEqH1RP5sjPoucRvihtJ7DysRvdXwzmdnHvJaKSLJLRa3dQQ==" saltValue="6pTQVtr89uhcSczKJjCxZA==" spinCount="100000" sheet="1" objects="1" scenarios="1"/>
  <hyperlinks>
    <hyperlink ref="N15" r:id="rId1" xr:uid="{9D3301C6-26FF-014E-9110-F756AD09BD5A}"/>
    <hyperlink ref="N26" r:id="rId2" display="http://www.epa.gov/climatechange/emissions/downloads09/GHG-MRR-Full%20Version.pdf" xr:uid="{7C35BC83-4F56-3942-9CAC-972232B99A1E}"/>
    <hyperlink ref="N52" r:id="rId3" display="http://www.epa.gov/climatechange/emissions/downloads09/GHG-MRR-Full%20Version.pdf" xr:uid="{3D9064A7-53C0-F647-81A5-53104FCDFFC9}"/>
    <hyperlink ref="N51" r:id="rId4" display="http://www.epa.gov/climatechange/emissions/downloads09/GHG-MRR-Full%20Version.pdf" xr:uid="{21B9E6F6-568E-A643-8FD5-4235C5F3CC2B}"/>
    <hyperlink ref="N30" r:id="rId5" display="http://www.epa.gov/climatechange/emissions/downloads09/GHG-MRR-Full%20Version.pdf" xr:uid="{DF5175A9-D048-ED4D-A40D-BB6B547367FA}"/>
    <hyperlink ref="N4" r:id="rId6" display="http://www.epa.gov/climatechange/emissions/downloads09/GHG-MRR-Full%20Version.pdf" xr:uid="{6FA27779-0D93-B144-BDB1-2F4BA2DC1F73}"/>
    <hyperlink ref="N50" r:id="rId7" display="http://www.epa.gov/climatechange/emissions/downloads09/GHG-MRR-Full%20Version.pdf" xr:uid="{4C099BBB-1B46-DB4A-9CFC-0699DC9FCE7B}"/>
    <hyperlink ref="N57" r:id="rId8" display="http://www.epa.gov/climatechange/emissions/downloads09/GHG-MRR-Full%20Version.pdf" xr:uid="{F4582AA2-72D8-554B-ADB5-5C1EB98CB67A}"/>
    <hyperlink ref="N6" r:id="rId9" display="http://www.epa.gov/climatechange/emissions/downloads09/GHG-MRR-Full%20Version.pdf" xr:uid="{628D7B4E-B7DF-1C42-B5E4-105A4809F862}"/>
    <hyperlink ref="N7" r:id="rId10" display="http://www.epa.gov/climatechange/emissions/downloads09/GHG-MRR-Full%20Version.pdf" xr:uid="{6A06410F-E65D-2348-996B-4D692BCDE9D2}"/>
    <hyperlink ref="N2:N10" r:id="rId11" display="http://www.epa.gov/ghgreporting/documents/pdf/2009/GHG-MRR-FinalRule.pdf" xr:uid="{98867C59-6086-9B48-90E6-E99A88C75D6A}"/>
    <hyperlink ref="N48:N56" r:id="rId12" display="http://www.epa.gov/ghgreporting/documents/pdf/2009/GHG-MRR-FinalRule.pdf" xr:uid="{F6AE6749-E778-7C42-BE9F-E01B814FB5B3}"/>
    <hyperlink ref="N2:N9" r:id="rId13" display="http://www.epa.gov/climateleadership/documents/emission-factors.pdf" xr:uid="{157B562E-8960-B546-81E8-EDA634D97B2D}"/>
    <hyperlink ref="N48" r:id="rId14" xr:uid="{55C0BAAC-EFFD-8144-B4FA-0984620F38E4}"/>
  </hyperlinks>
  <pageMargins left="0.7" right="0.7" top="0.75" bottom="0.75" header="0.3" footer="0.3"/>
  <legacy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B3BA-49B6-4C4B-8C89-B79C86DFD4AA}">
  <sheetPr codeName="Sheet26"/>
  <dimension ref="A1:Q31"/>
  <sheetViews>
    <sheetView zoomScale="90" zoomScaleNormal="90" workbookViewId="0">
      <selection activeCell="C31" sqref="C31:F31"/>
    </sheetView>
  </sheetViews>
  <sheetFormatPr baseColWidth="10" defaultColWidth="10.5" defaultRowHeight="16"/>
  <cols>
    <col min="1" max="1" width="37" customWidth="1"/>
    <col min="3" max="7" width="10.5" style="451"/>
    <col min="8" max="8" width="13.1640625" style="451" customWidth="1"/>
    <col min="9" max="13" width="10.5" hidden="1" customWidth="1"/>
    <col min="14" max="14" width="11.1640625" customWidth="1"/>
    <col min="17" max="17" width="16.33203125" customWidth="1"/>
  </cols>
  <sheetData>
    <row r="1" spans="1:17" ht="127.5" customHeight="1">
      <c r="A1" s="444" t="s">
        <v>526</v>
      </c>
      <c r="C1" s="445" t="s">
        <v>526</v>
      </c>
      <c r="D1" s="445" t="s">
        <v>527</v>
      </c>
      <c r="E1" s="445" t="s">
        <v>528</v>
      </c>
      <c r="F1" s="445" t="s">
        <v>529</v>
      </c>
      <c r="G1" s="445" t="s">
        <v>530</v>
      </c>
      <c r="H1" s="446" t="s">
        <v>610</v>
      </c>
      <c r="I1" s="420"/>
      <c r="J1" s="447" t="s">
        <v>527</v>
      </c>
      <c r="K1" s="447" t="s">
        <v>528</v>
      </c>
      <c r="L1" s="447" t="s">
        <v>529</v>
      </c>
      <c r="M1" s="447" t="s">
        <v>530</v>
      </c>
      <c r="N1" s="447" t="s">
        <v>531</v>
      </c>
      <c r="P1" s="420"/>
    </row>
    <row r="2" spans="1:17" ht="13.5" customHeight="1">
      <c r="A2" s="444" t="s">
        <v>431</v>
      </c>
      <c r="C2" s="445"/>
      <c r="D2" s="445"/>
      <c r="E2" s="448">
        <f>E30</f>
        <v>1420.19</v>
      </c>
      <c r="F2" s="448">
        <f t="shared" ref="F2:G2" si="0">F30</f>
        <v>0.114</v>
      </c>
      <c r="G2" s="448">
        <f t="shared" si="0"/>
        <v>1.6E-2</v>
      </c>
      <c r="H2" s="472">
        <f>H30</f>
        <v>189.83531623683197</v>
      </c>
      <c r="I2" s="420"/>
      <c r="J2" s="447"/>
      <c r="K2" s="449"/>
      <c r="L2" s="449"/>
      <c r="M2" s="449"/>
      <c r="N2" s="449"/>
      <c r="P2" s="420"/>
    </row>
    <row r="3" spans="1:17" ht="18" customHeight="1">
      <c r="A3" s="450" t="s">
        <v>429</v>
      </c>
      <c r="C3" s="421" t="s">
        <v>429</v>
      </c>
      <c r="D3" s="421" t="s">
        <v>532</v>
      </c>
      <c r="E3" s="478">
        <v>1333.0429999999999</v>
      </c>
      <c r="F3" s="479">
        <v>0.123</v>
      </c>
      <c r="G3" s="479">
        <v>1.7000000000000001E-2</v>
      </c>
      <c r="H3" s="473">
        <f>($E3+$P$3*F$3+G3*$P$4)*1000000/$P$5/$P$6/1000</f>
        <v>178.29005966373271</v>
      </c>
      <c r="J3" s="451" t="s">
        <v>532</v>
      </c>
      <c r="K3" s="451"/>
      <c r="L3" s="451"/>
      <c r="M3" s="451"/>
      <c r="N3" s="452"/>
      <c r="O3" t="s">
        <v>533</v>
      </c>
      <c r="P3">
        <v>25</v>
      </c>
      <c r="Q3" s="420" t="s">
        <v>534</v>
      </c>
    </row>
    <row r="4" spans="1:17" ht="17">
      <c r="A4" s="450" t="s">
        <v>430</v>
      </c>
      <c r="C4" s="421" t="s">
        <v>430</v>
      </c>
      <c r="D4" s="421" t="s">
        <v>535</v>
      </c>
      <c r="E4" s="478">
        <v>1520.1990000000001</v>
      </c>
      <c r="F4" s="479">
        <v>6.7000000000000004E-2</v>
      </c>
      <c r="G4" s="479">
        <v>1.2E-2</v>
      </c>
      <c r="H4" s="473">
        <f t="shared" ref="H4:H30" si="1">($E4+$P$3*F$3+G4*$P$4)*1000000/$P$5/$P$6/1000</f>
        <v>202.97153678956079</v>
      </c>
      <c r="J4" s="451" t="s">
        <v>535</v>
      </c>
      <c r="K4" s="451"/>
      <c r="L4" s="451"/>
      <c r="M4" s="451"/>
      <c r="N4" s="452"/>
      <c r="O4" t="s">
        <v>536</v>
      </c>
      <c r="P4">
        <v>298</v>
      </c>
      <c r="Q4" s="420" t="s">
        <v>534</v>
      </c>
    </row>
    <row r="5" spans="1:17">
      <c r="A5" s="450" t="s">
        <v>537</v>
      </c>
      <c r="C5" s="421" t="s">
        <v>537</v>
      </c>
      <c r="D5" s="421" t="s">
        <v>538</v>
      </c>
      <c r="E5" s="478">
        <v>1445.2570000000001</v>
      </c>
      <c r="F5" s="479">
        <v>0.1</v>
      </c>
      <c r="G5" s="479">
        <v>1.4E-2</v>
      </c>
      <c r="H5" s="473">
        <f t="shared" si="1"/>
        <v>193.08836432719929</v>
      </c>
      <c r="J5" s="451" t="s">
        <v>538</v>
      </c>
      <c r="K5" s="451"/>
      <c r="L5" s="451"/>
      <c r="M5" s="451"/>
      <c r="N5" s="452"/>
      <c r="O5" t="s">
        <v>539</v>
      </c>
      <c r="P5">
        <v>2.2046220000000001</v>
      </c>
    </row>
    <row r="6" spans="1:17">
      <c r="A6" s="450" t="s">
        <v>540</v>
      </c>
      <c r="C6" s="421" t="s">
        <v>540</v>
      </c>
      <c r="D6" s="421" t="s">
        <v>541</v>
      </c>
      <c r="E6" s="478">
        <v>963.97699999999998</v>
      </c>
      <c r="F6" s="479">
        <v>5.8000000000000003E-2</v>
      </c>
      <c r="G6" s="479">
        <v>7.0000000000000001E-3</v>
      </c>
      <c r="H6" s="473">
        <f t="shared" si="1"/>
        <v>128.83218994738274</v>
      </c>
      <c r="J6" s="451" t="s">
        <v>541</v>
      </c>
      <c r="K6" s="451"/>
      <c r="L6" s="451"/>
      <c r="M6" s="451"/>
      <c r="N6" s="452"/>
      <c r="O6" t="s">
        <v>542</v>
      </c>
      <c r="P6">
        <v>3412.1419999999998</v>
      </c>
    </row>
    <row r="7" spans="1:17">
      <c r="A7" s="450" t="s">
        <v>543</v>
      </c>
      <c r="C7" s="421" t="s">
        <v>543</v>
      </c>
      <c r="D7" s="421" t="s">
        <v>544</v>
      </c>
      <c r="E7" s="478">
        <v>1277.172</v>
      </c>
      <c r="F7" s="479">
        <v>8.3000000000000004E-2</v>
      </c>
      <c r="G7" s="479">
        <v>1.2E-2</v>
      </c>
      <c r="H7" s="473">
        <f t="shared" si="1"/>
        <v>170.664785195523</v>
      </c>
      <c r="J7" s="451" t="s">
        <v>544</v>
      </c>
      <c r="K7" s="451"/>
      <c r="L7" s="451"/>
      <c r="M7" s="451"/>
      <c r="N7" s="452"/>
    </row>
    <row r="8" spans="1:17">
      <c r="A8" s="450" t="s">
        <v>545</v>
      </c>
      <c r="C8" s="421" t="s">
        <v>545</v>
      </c>
      <c r="D8" s="421" t="s">
        <v>546</v>
      </c>
      <c r="E8" s="478">
        <v>1029.519</v>
      </c>
      <c r="F8" s="479">
        <v>5.3999999999999999E-2</v>
      </c>
      <c r="G8" s="479">
        <v>7.0000000000000001E-3</v>
      </c>
      <c r="H8" s="473">
        <f t="shared" si="1"/>
        <v>137.5450042148363</v>
      </c>
      <c r="J8" s="451" t="s">
        <v>546</v>
      </c>
      <c r="K8" s="451"/>
      <c r="L8" s="451"/>
      <c r="M8" s="451"/>
      <c r="N8" s="452"/>
    </row>
    <row r="9" spans="1:17">
      <c r="A9" s="450" t="s">
        <v>547</v>
      </c>
      <c r="C9" s="421" t="s">
        <v>547</v>
      </c>
      <c r="D9" s="421" t="s">
        <v>548</v>
      </c>
      <c r="E9" s="478">
        <v>1549.4870000000001</v>
      </c>
      <c r="F9" s="479">
        <v>0.107</v>
      </c>
      <c r="G9" s="479">
        <v>1.7999999999999999E-2</v>
      </c>
      <c r="H9" s="473">
        <f t="shared" si="1"/>
        <v>207.10261939575815</v>
      </c>
      <c r="J9" s="451" t="s">
        <v>548</v>
      </c>
      <c r="K9" s="451"/>
      <c r="L9" s="451"/>
      <c r="M9" s="451"/>
      <c r="N9" s="452"/>
    </row>
    <row r="10" spans="1:17">
      <c r="A10" s="450" t="s">
        <v>549</v>
      </c>
      <c r="C10" s="421" t="s">
        <v>549</v>
      </c>
      <c r="D10" s="421" t="s">
        <v>550</v>
      </c>
      <c r="E10" s="478">
        <v>1704.143</v>
      </c>
      <c r="F10" s="479">
        <v>0.158</v>
      </c>
      <c r="G10" s="479">
        <v>2.5000000000000001E-2</v>
      </c>
      <c r="H10" s="473">
        <f t="shared" si="1"/>
        <v>227.93908965771533</v>
      </c>
      <c r="J10" s="451" t="s">
        <v>550</v>
      </c>
      <c r="K10" s="451"/>
      <c r="L10" s="451"/>
      <c r="M10" s="451"/>
      <c r="N10" s="452"/>
    </row>
    <row r="11" spans="1:17">
      <c r="A11" s="450" t="s">
        <v>551</v>
      </c>
      <c r="C11" s="421" t="s">
        <v>551</v>
      </c>
      <c r="D11" s="421" t="s">
        <v>552</v>
      </c>
      <c r="E11" s="478">
        <v>1577.6669999999999</v>
      </c>
      <c r="F11" s="479">
        <v>0.14499999999999999</v>
      </c>
      <c r="G11" s="479">
        <v>2.1000000000000001E-2</v>
      </c>
      <c r="H11" s="473">
        <f t="shared" si="1"/>
        <v>210.96756648330413</v>
      </c>
      <c r="J11" s="451" t="s">
        <v>552</v>
      </c>
      <c r="K11" s="451"/>
      <c r="L11" s="451"/>
      <c r="M11" s="451"/>
      <c r="N11" s="452"/>
    </row>
    <row r="12" spans="1:17">
      <c r="A12" s="450" t="s">
        <v>553</v>
      </c>
      <c r="C12" s="421" t="s">
        <v>553</v>
      </c>
      <c r="D12" s="421" t="s">
        <v>554</v>
      </c>
      <c r="E12" s="478">
        <v>1806.788</v>
      </c>
      <c r="F12" s="479">
        <v>0.188</v>
      </c>
      <c r="G12" s="479">
        <v>2.7E-2</v>
      </c>
      <c r="H12" s="473">
        <f t="shared" si="1"/>
        <v>241.66341387403713</v>
      </c>
      <c r="J12" s="451" t="s">
        <v>554</v>
      </c>
      <c r="K12" s="451"/>
      <c r="L12" s="451"/>
      <c r="M12" s="451"/>
      <c r="N12" s="452"/>
    </row>
    <row r="13" spans="1:17">
      <c r="A13" s="450" t="s">
        <v>555</v>
      </c>
      <c r="C13" s="421" t="s">
        <v>555</v>
      </c>
      <c r="D13" s="421" t="s">
        <v>556</v>
      </c>
      <c r="E13" s="478">
        <v>839.88699999999994</v>
      </c>
      <c r="F13" s="479">
        <v>8.8999999999999996E-2</v>
      </c>
      <c r="G13" s="479">
        <v>1.2E-2</v>
      </c>
      <c r="H13" s="473">
        <f t="shared" si="1"/>
        <v>112.53438046354337</v>
      </c>
      <c r="J13" s="451" t="s">
        <v>556</v>
      </c>
      <c r="K13" s="451"/>
      <c r="L13" s="451"/>
      <c r="M13" s="451"/>
      <c r="N13" s="452"/>
    </row>
    <row r="14" spans="1:17">
      <c r="A14" s="450" t="s">
        <v>557</v>
      </c>
      <c r="C14" s="421" t="s">
        <v>557</v>
      </c>
      <c r="D14" s="421" t="s">
        <v>558</v>
      </c>
      <c r="E14" s="478">
        <v>1617.4770000000001</v>
      </c>
      <c r="F14" s="479">
        <v>0.156</v>
      </c>
      <c r="G14" s="479">
        <v>2.1999999999999999E-2</v>
      </c>
      <c r="H14" s="473">
        <f t="shared" si="1"/>
        <v>216.29931642439581</v>
      </c>
      <c r="J14" s="451" t="s">
        <v>558</v>
      </c>
      <c r="K14" s="451"/>
      <c r="L14" s="451"/>
      <c r="M14" s="451"/>
      <c r="N14" s="452"/>
    </row>
    <row r="15" spans="1:17">
      <c r="A15" s="450" t="s">
        <v>559</v>
      </c>
      <c r="C15" s="421" t="s">
        <v>559</v>
      </c>
      <c r="D15" s="421" t="s">
        <v>560</v>
      </c>
      <c r="E15" s="478">
        <v>1016.222</v>
      </c>
      <c r="F15" s="479">
        <v>2.1999999999999999E-2</v>
      </c>
      <c r="G15" s="479">
        <v>2E-3</v>
      </c>
      <c r="H15" s="473">
        <f t="shared" si="1"/>
        <v>135.57929696493792</v>
      </c>
      <c r="J15" s="451" t="s">
        <v>560</v>
      </c>
      <c r="K15" s="451"/>
      <c r="L15" s="451"/>
      <c r="M15" s="451"/>
      <c r="N15" s="452"/>
    </row>
    <row r="16" spans="1:17">
      <c r="A16" s="450" t="s">
        <v>561</v>
      </c>
      <c r="C16" s="421" t="s">
        <v>561</v>
      </c>
      <c r="D16" s="421" t="s">
        <v>562</v>
      </c>
      <c r="E16" s="478">
        <v>1300.6420000000001</v>
      </c>
      <c r="F16" s="479">
        <v>4.3999999999999997E-2</v>
      </c>
      <c r="G16" s="479">
        <v>5.0000000000000001E-3</v>
      </c>
      <c r="H16" s="473">
        <f t="shared" si="1"/>
        <v>173.50746348265531</v>
      </c>
      <c r="J16" s="451" t="s">
        <v>562</v>
      </c>
      <c r="K16" s="451"/>
      <c r="L16" s="451"/>
      <c r="M16" s="451"/>
      <c r="N16" s="452"/>
    </row>
    <row r="17" spans="1:15">
      <c r="A17" s="450" t="s">
        <v>563</v>
      </c>
      <c r="C17" s="421" t="s">
        <v>563</v>
      </c>
      <c r="D17" s="421" t="s">
        <v>564</v>
      </c>
      <c r="E17" s="478">
        <v>890.21100000000001</v>
      </c>
      <c r="F17" s="479">
        <v>4.7E-2</v>
      </c>
      <c r="G17" s="479">
        <v>6.0000000000000001E-3</v>
      </c>
      <c r="H17" s="473">
        <f t="shared" si="1"/>
        <v>118.98650510553057</v>
      </c>
      <c r="J17" s="451" t="s">
        <v>564</v>
      </c>
      <c r="K17" s="451"/>
      <c r="L17" s="451"/>
      <c r="M17" s="451"/>
      <c r="N17" s="452"/>
    </row>
    <row r="18" spans="1:15">
      <c r="A18" s="450" t="s">
        <v>565</v>
      </c>
      <c r="C18" s="421" t="s">
        <v>565</v>
      </c>
      <c r="D18" s="421" t="s">
        <v>566</v>
      </c>
      <c r="E18" s="478">
        <v>1587.9069999999999</v>
      </c>
      <c r="F18" s="479">
        <v>5.5E-2</v>
      </c>
      <c r="G18" s="479">
        <v>0.01</v>
      </c>
      <c r="H18" s="473">
        <f t="shared" si="1"/>
        <v>211.89305873148109</v>
      </c>
      <c r="J18" s="451" t="s">
        <v>566</v>
      </c>
      <c r="K18" s="451"/>
      <c r="L18" s="451"/>
      <c r="M18" s="451"/>
      <c r="N18" s="452"/>
    </row>
    <row r="19" spans="1:15">
      <c r="A19" s="450" t="s">
        <v>567</v>
      </c>
      <c r="C19" s="421" t="s">
        <v>567</v>
      </c>
      <c r="D19" s="421" t="s">
        <v>568</v>
      </c>
      <c r="E19" s="478">
        <v>1237.8589999999999</v>
      </c>
      <c r="F19" s="479">
        <v>8.8999999999999996E-2</v>
      </c>
      <c r="G19" s="479">
        <v>1.2E-2</v>
      </c>
      <c r="H19" s="473">
        <f t="shared" si="1"/>
        <v>165.43871843990979</v>
      </c>
      <c r="J19" s="451" t="s">
        <v>568</v>
      </c>
      <c r="K19" s="451"/>
      <c r="L19" s="451"/>
      <c r="M19" s="451"/>
      <c r="N19" s="452"/>
    </row>
    <row r="20" spans="1:15">
      <c r="A20" s="450" t="s">
        <v>569</v>
      </c>
      <c r="C20" s="421" t="s">
        <v>569</v>
      </c>
      <c r="D20" s="421" t="s">
        <v>570</v>
      </c>
      <c r="E20" s="478">
        <v>1766.8679999999999</v>
      </c>
      <c r="F20" s="479">
        <v>0.17699999999999999</v>
      </c>
      <c r="G20" s="479">
        <v>2.5000000000000001E-2</v>
      </c>
      <c r="H20" s="473">
        <f t="shared" si="1"/>
        <v>236.27742652454907</v>
      </c>
      <c r="J20" s="451" t="s">
        <v>570</v>
      </c>
      <c r="K20" s="451"/>
      <c r="L20" s="451"/>
      <c r="M20" s="451"/>
      <c r="N20" s="452"/>
    </row>
    <row r="21" spans="1:15">
      <c r="A21" s="450" t="s">
        <v>571</v>
      </c>
      <c r="C21" s="421" t="s">
        <v>571</v>
      </c>
      <c r="D21" s="421" t="s">
        <v>572</v>
      </c>
      <c r="E21" s="478">
        <v>1831.6120000000001</v>
      </c>
      <c r="F21" s="479">
        <v>0.17799999999999999</v>
      </c>
      <c r="G21" s="479">
        <v>2.5999999999999999E-2</v>
      </c>
      <c r="H21" s="473">
        <f t="shared" si="1"/>
        <v>244.92377337975205</v>
      </c>
      <c r="J21" s="451" t="s">
        <v>572</v>
      </c>
      <c r="K21" s="451"/>
      <c r="L21" s="451"/>
      <c r="M21" s="451"/>
      <c r="N21" s="452"/>
    </row>
    <row r="22" spans="1:15">
      <c r="A22" s="450" t="s">
        <v>573</v>
      </c>
      <c r="C22" s="421" t="s">
        <v>573</v>
      </c>
      <c r="D22" s="421" t="s">
        <v>574</v>
      </c>
      <c r="E22" s="478">
        <v>1578.81</v>
      </c>
      <c r="F22" s="479">
        <v>0.126</v>
      </c>
      <c r="G22" s="479">
        <v>1.7999999999999999E-2</v>
      </c>
      <c r="H22" s="473">
        <f t="shared" si="1"/>
        <v>211.00066725460493</v>
      </c>
      <c r="J22" s="451" t="s">
        <v>574</v>
      </c>
      <c r="K22" s="451"/>
      <c r="L22" s="451"/>
      <c r="M22" s="451"/>
      <c r="N22" s="452"/>
    </row>
    <row r="23" spans="1:15">
      <c r="A23" s="450" t="s">
        <v>575</v>
      </c>
      <c r="C23" s="421" t="s">
        <v>575</v>
      </c>
      <c r="D23" s="421" t="s">
        <v>576</v>
      </c>
      <c r="E23" s="478">
        <v>1958.6089999999999</v>
      </c>
      <c r="F23" s="479">
        <v>0.2</v>
      </c>
      <c r="G23" s="479">
        <v>2.9000000000000001E-2</v>
      </c>
      <c r="H23" s="473">
        <f t="shared" si="1"/>
        <v>261.92494102002695</v>
      </c>
      <c r="J23" s="451" t="s">
        <v>576</v>
      </c>
      <c r="K23" s="451"/>
      <c r="L23" s="451"/>
      <c r="M23" s="451"/>
      <c r="N23" s="452"/>
    </row>
    <row r="24" spans="1:15">
      <c r="A24" s="450" t="s">
        <v>577</v>
      </c>
      <c r="C24" s="421" t="s">
        <v>577</v>
      </c>
      <c r="D24" s="421" t="s">
        <v>578</v>
      </c>
      <c r="E24" s="478">
        <v>1543.6659999999999</v>
      </c>
      <c r="F24" s="479">
        <v>0.108</v>
      </c>
      <c r="G24" s="479">
        <v>1.4999999999999999E-2</v>
      </c>
      <c r="H24" s="473">
        <f t="shared" si="1"/>
        <v>206.20996204923296</v>
      </c>
      <c r="J24" s="451" t="s">
        <v>578</v>
      </c>
      <c r="K24" s="451"/>
      <c r="L24" s="451"/>
      <c r="M24" s="451"/>
      <c r="N24" s="452"/>
    </row>
    <row r="25" spans="1:15">
      <c r="A25" s="450" t="s">
        <v>579</v>
      </c>
      <c r="C25" s="421" t="s">
        <v>579</v>
      </c>
      <c r="D25" s="421" t="s">
        <v>580</v>
      </c>
      <c r="E25" s="478">
        <v>1200.1369999999999</v>
      </c>
      <c r="F25" s="479">
        <v>6.8000000000000005E-2</v>
      </c>
      <c r="G25" s="479">
        <v>0.01</v>
      </c>
      <c r="H25" s="473">
        <f t="shared" si="1"/>
        <v>160.34492183467523</v>
      </c>
      <c r="J25" s="451" t="s">
        <v>580</v>
      </c>
      <c r="K25" s="451"/>
      <c r="L25" s="451"/>
      <c r="M25" s="451"/>
      <c r="N25" s="452"/>
    </row>
    <row r="26" spans="1:15">
      <c r="A26" s="450" t="s">
        <v>581</v>
      </c>
      <c r="C26" s="421" t="s">
        <v>581</v>
      </c>
      <c r="D26" s="421" t="s">
        <v>582</v>
      </c>
      <c r="E26" s="478">
        <v>1960.8620000000001</v>
      </c>
      <c r="F26" s="479">
        <v>0.216</v>
      </c>
      <c r="G26" s="479">
        <v>3.1E-2</v>
      </c>
      <c r="H26" s="473">
        <f t="shared" si="1"/>
        <v>262.30367233503068</v>
      </c>
      <c r="J26" s="451" t="s">
        <v>582</v>
      </c>
      <c r="K26" s="451"/>
      <c r="L26" s="451"/>
      <c r="M26" s="451"/>
      <c r="N26" s="452"/>
    </row>
    <row r="27" spans="1:15">
      <c r="A27" s="450" t="s">
        <v>583</v>
      </c>
      <c r="C27" s="421" t="s">
        <v>583</v>
      </c>
      <c r="D27" s="421" t="s">
        <v>584</v>
      </c>
      <c r="E27" s="478">
        <v>1389.53</v>
      </c>
      <c r="F27" s="479">
        <v>0.10100000000000001</v>
      </c>
      <c r="G27" s="479">
        <v>1.4999999999999999E-2</v>
      </c>
      <c r="H27" s="473">
        <f t="shared" si="1"/>
        <v>185.71991993992572</v>
      </c>
      <c r="J27" s="451" t="s">
        <v>584</v>
      </c>
      <c r="K27" s="451"/>
      <c r="L27" s="451"/>
      <c r="M27" s="451"/>
      <c r="N27" s="452"/>
    </row>
    <row r="28" spans="1:15">
      <c r="A28" s="450" t="s">
        <v>585</v>
      </c>
      <c r="C28" s="421" t="s">
        <v>585</v>
      </c>
      <c r="D28" s="421" t="s">
        <v>586</v>
      </c>
      <c r="E28" s="478">
        <v>1565.172</v>
      </c>
      <c r="F28" s="479">
        <v>0.13900000000000001</v>
      </c>
      <c r="G28" s="479">
        <v>0.02</v>
      </c>
      <c r="H28" s="473">
        <f t="shared" si="1"/>
        <v>209.26693127346113</v>
      </c>
      <c r="J28" s="451" t="s">
        <v>586</v>
      </c>
      <c r="K28" s="451"/>
      <c r="L28" s="451"/>
      <c r="M28" s="451"/>
      <c r="N28" s="452"/>
    </row>
    <row r="29" spans="1:15">
      <c r="A29" s="450" t="s">
        <v>587</v>
      </c>
      <c r="C29" s="421" t="s">
        <v>587</v>
      </c>
      <c r="D29" s="421" t="s">
        <v>588</v>
      </c>
      <c r="E29" s="478">
        <v>1349.17</v>
      </c>
      <c r="F29" s="479">
        <v>0.11799999999999999</v>
      </c>
      <c r="G29" s="479">
        <v>1.7000000000000001E-2</v>
      </c>
      <c r="H29" s="473">
        <f t="shared" si="1"/>
        <v>180.43389957846256</v>
      </c>
      <c r="J29" s="451" t="s">
        <v>588</v>
      </c>
      <c r="K29" s="451"/>
      <c r="L29" s="451"/>
      <c r="M29" s="451"/>
      <c r="N29" s="452"/>
    </row>
    <row r="30" spans="1:15">
      <c r="A30" s="450" t="s">
        <v>589</v>
      </c>
      <c r="C30" s="421" t="s">
        <v>590</v>
      </c>
      <c r="D30" s="421"/>
      <c r="E30" s="480">
        <v>1420.19</v>
      </c>
      <c r="F30" s="481">
        <v>0.114</v>
      </c>
      <c r="G30" s="481">
        <v>1.6E-2</v>
      </c>
      <c r="H30" s="473">
        <f t="shared" si="1"/>
        <v>189.83531623683197</v>
      </c>
      <c r="J30" s="451" t="s">
        <v>590</v>
      </c>
      <c r="K30" s="451"/>
      <c r="L30" s="451"/>
      <c r="M30" s="451"/>
      <c r="N30" s="452"/>
    </row>
    <row r="31" spans="1:15">
      <c r="C31" s="482" t="s">
        <v>591</v>
      </c>
      <c r="D31" s="482"/>
      <c r="E31" s="483"/>
      <c r="F31" s="483"/>
      <c r="G31" s="453"/>
      <c r="H31" s="453"/>
      <c r="I31" s="443"/>
      <c r="J31" s="474" t="s">
        <v>591</v>
      </c>
      <c r="K31" s="474"/>
      <c r="L31" s="474"/>
      <c r="M31" s="474"/>
      <c r="N31" s="474"/>
      <c r="O31" s="443"/>
    </row>
  </sheetData>
  <sheetProtection algorithmName="SHA-512" hashValue="7y3kbaTXV4U16yVIjCp4Du9MYiJ1tkVGP8qDFXpnvA65CHnXvetTA3kuZkIICTikHIPVYq6qG3eFlbGmfd0Okw==" saltValue="vDYlJqOwX+ozhj6ZCvWRDw==" spinCount="100000" sheet="1" objects="1" scenarios="1"/>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44"/>
  <sheetViews>
    <sheetView zoomScale="84" zoomScaleNormal="84" workbookViewId="0">
      <selection activeCell="N23" sqref="N23"/>
    </sheetView>
  </sheetViews>
  <sheetFormatPr baseColWidth="10" defaultColWidth="8.83203125" defaultRowHeight="16"/>
  <cols>
    <col min="1" max="1" width="14.83203125" customWidth="1"/>
    <col min="2" max="2" width="16.5" customWidth="1"/>
    <col min="3" max="3" width="14.6640625" customWidth="1"/>
    <col min="4" max="4" width="15.83203125" customWidth="1"/>
    <col min="5" max="5" width="20.33203125" customWidth="1"/>
    <col min="6" max="6" width="18.33203125" customWidth="1"/>
    <col min="7" max="7" width="14.33203125" customWidth="1"/>
    <col min="8" max="9" width="14.33203125" bestFit="1" customWidth="1"/>
    <col min="11" max="11" width="12.83203125" customWidth="1"/>
    <col min="12" max="12" width="19" customWidth="1"/>
    <col min="13" max="13" width="20.83203125" customWidth="1"/>
    <col min="14" max="14" width="21.83203125" customWidth="1"/>
  </cols>
  <sheetData>
    <row r="1" spans="1:23" ht="20.25" customHeight="1" thickBot="1">
      <c r="A1" s="555" t="s">
        <v>121</v>
      </c>
      <c r="B1" s="556"/>
      <c r="C1" s="556"/>
      <c r="D1" s="556"/>
      <c r="E1" s="556"/>
      <c r="F1" s="556"/>
      <c r="G1" s="556"/>
      <c r="H1" s="556"/>
      <c r="I1" s="557"/>
    </row>
    <row r="2" spans="1:23" ht="21" customHeight="1" thickBot="1">
      <c r="A2" s="558"/>
      <c r="B2" s="559"/>
      <c r="C2" s="559"/>
      <c r="D2" s="559"/>
      <c r="E2" s="559"/>
      <c r="F2" s="559"/>
      <c r="G2" s="559"/>
      <c r="H2" s="559"/>
      <c r="I2" s="560"/>
      <c r="K2" s="766" t="s">
        <v>64</v>
      </c>
      <c r="L2" s="113" t="s">
        <v>3</v>
      </c>
      <c r="M2" s="114" t="s">
        <v>4</v>
      </c>
      <c r="N2" s="114" t="s">
        <v>5</v>
      </c>
    </row>
    <row r="3" spans="1:23" ht="29.25" customHeight="1" thickBot="1">
      <c r="A3" s="99"/>
      <c r="B3" s="5"/>
      <c r="C3" s="5"/>
      <c r="D3" s="5"/>
      <c r="E3" s="5"/>
      <c r="F3" s="5"/>
      <c r="G3" s="5"/>
      <c r="H3" s="5"/>
      <c r="I3" s="106"/>
      <c r="K3" s="768"/>
      <c r="L3" s="766" t="s">
        <v>44</v>
      </c>
      <c r="M3" s="766" t="s">
        <v>120</v>
      </c>
      <c r="N3" s="766" t="s">
        <v>26</v>
      </c>
    </row>
    <row r="4" spans="1:23" ht="48" customHeight="1" thickBot="1">
      <c r="A4" s="103" t="s">
        <v>109</v>
      </c>
      <c r="B4" s="103" t="s">
        <v>56</v>
      </c>
      <c r="C4" s="103" t="s">
        <v>57</v>
      </c>
      <c r="D4" s="103" t="s">
        <v>45</v>
      </c>
      <c r="E4" s="103" t="s">
        <v>60</v>
      </c>
      <c r="F4" s="103" t="s">
        <v>61</v>
      </c>
      <c r="G4" s="103" t="s">
        <v>46</v>
      </c>
      <c r="H4" s="103" t="s">
        <v>47</v>
      </c>
      <c r="I4" s="103" t="s">
        <v>91</v>
      </c>
      <c r="K4" s="767"/>
      <c r="L4" s="767"/>
      <c r="M4" s="767"/>
      <c r="N4" s="767"/>
    </row>
    <row r="5" spans="1:23" ht="17.25" customHeight="1" thickBot="1">
      <c r="A5" s="102">
        <v>1</v>
      </c>
      <c r="B5" s="112">
        <f>'Sch4-Cost Savings by ECM'!P258</f>
        <v>202291.46655448189</v>
      </c>
      <c r="C5" s="112">
        <f>'Sch4-Cost Savings by ECM'!R258</f>
        <v>0</v>
      </c>
      <c r="D5" s="112">
        <f>'Sch4-Cost Savings by ECM'!T258</f>
        <v>34929.67247094</v>
      </c>
      <c r="E5" s="112">
        <f>'Sch4-Cost Savings by ECM'!V258</f>
        <v>801434.08350600011</v>
      </c>
      <c r="F5" s="112">
        <f>'Sch4-Cost Savings by ECM'!X258</f>
        <v>0</v>
      </c>
      <c r="G5" s="112">
        <f>'Sch4-Cost Savings by ECM'!AB258</f>
        <v>366616.83199999999</v>
      </c>
      <c r="H5" s="112">
        <f>'Sch4-Cost Savings by ECM'!AC258</f>
        <v>209305.79999999996</v>
      </c>
      <c r="I5" s="112">
        <f>'Sch4-Cost Savings by ECM'!AD258</f>
        <v>0</v>
      </c>
      <c r="K5" s="111">
        <v>1</v>
      </c>
      <c r="L5" s="110">
        <f ca="1">SUM(B5:I5)+MAX((INDIRECT("'Sch3-Perf Period Cash Flow'!D"&amp;6&amp;"")/IF('Summary Schedule'!$C$38="",1,'Summary Schedule'!$C$38)),0)</f>
        <v>1614577.854531422</v>
      </c>
      <c r="M5" s="110">
        <f ca="1">ROUND(L5*IF('Summary Schedule'!$C$38="",1,'Summary Schedule'!$C$38),0)</f>
        <v>1485412</v>
      </c>
      <c r="N5" s="124">
        <f ca="1">'Sch3-Perf Period Cash Flow'!D$23</f>
        <v>1485411</v>
      </c>
      <c r="Q5" s="286"/>
      <c r="W5" s="286"/>
    </row>
    <row r="6" spans="1:23" ht="17" thickBot="1">
      <c r="A6" s="102">
        <v>2</v>
      </c>
      <c r="B6" s="112">
        <f>B5*(1+'Annual Escalation Rates'!B6)</f>
        <v>205993.40039242891</v>
      </c>
      <c r="C6" s="112">
        <f>C5*(1+'Annual Escalation Rates'!C6)</f>
        <v>0</v>
      </c>
      <c r="D6" s="112">
        <f>D5*(1+'Annual Escalation Rates'!D6)</f>
        <v>35359.30744233256</v>
      </c>
      <c r="E6" s="112">
        <f>E5*(1+'Annual Escalation Rates'!E6)</f>
        <v>811291.72273312393</v>
      </c>
      <c r="F6" s="112">
        <f>F5*(1+'Annual Escalation Rates'!F6)</f>
        <v>0</v>
      </c>
      <c r="G6" s="112">
        <f>G5*(1+'Annual Escalation Rates'!G6)</f>
        <v>380181.65478399995</v>
      </c>
      <c r="H6" s="112">
        <f>H5*(1+'Annual Escalation Rates'!H6)</f>
        <v>214119.83339999994</v>
      </c>
      <c r="I6" s="112">
        <f>I5*(1+'Annual Escalation Rates'!I6)</f>
        <v>0</v>
      </c>
      <c r="K6" s="111">
        <v>2</v>
      </c>
      <c r="L6" s="110">
        <f ca="1">SUM(B6:I6)+MAX((INDIRECT("'Sch3-Perf Period Cash Flow'!e"&amp;6&amp;"")/IF('Summary Schedule'!$C$38="",1,'Summary Schedule'!$C$38)),0)</f>
        <v>1646945.9187518852</v>
      </c>
      <c r="M6" s="110">
        <f ca="1">ROUND(L6*IF('Summary Schedule'!$C$38="",1,'Summary Schedule'!$C$38),0)</f>
        <v>1515190</v>
      </c>
      <c r="N6" s="125">
        <f ca="1">'Sch3-Perf Period Cash Flow'!E$23</f>
        <v>1515189</v>
      </c>
      <c r="Q6" s="286"/>
      <c r="W6" s="286"/>
    </row>
    <row r="7" spans="1:23" ht="17" thickBot="1">
      <c r="A7" s="102">
        <v>3</v>
      </c>
      <c r="B7" s="112">
        <f>B6*(1+'Annual Escalation Rates'!B7)</f>
        <v>209763.07961961036</v>
      </c>
      <c r="C7" s="112">
        <f>C6*(1+'Annual Escalation Rates'!C7)</f>
        <v>0</v>
      </c>
      <c r="D7" s="112">
        <f>D6*(1+'Annual Escalation Rates'!D7)</f>
        <v>35794.226923873248</v>
      </c>
      <c r="E7" s="112">
        <f>E6*(1+'Annual Escalation Rates'!E7)</f>
        <v>821270.61092274135</v>
      </c>
      <c r="F7" s="112">
        <f>F6*(1+'Annual Escalation Rates'!F7)</f>
        <v>0</v>
      </c>
      <c r="G7" s="112">
        <f>G6*(1+'Annual Escalation Rates'!G7)</f>
        <v>394248.37601100793</v>
      </c>
      <c r="H7" s="112">
        <f>H6*(1+'Annual Escalation Rates'!H7)</f>
        <v>219044.58956819991</v>
      </c>
      <c r="I7" s="112">
        <f>I6*(1+'Annual Escalation Rates'!I7)</f>
        <v>0</v>
      </c>
      <c r="K7" s="111">
        <v>3</v>
      </c>
      <c r="L7" s="110">
        <f ca="1">SUM(B7:I7)+MAX((INDIRECT("'Sch3-Perf Period Cash Flow'!f"&amp;6&amp;"")/IF('Summary Schedule'!$C$38="",1,'Summary Schedule'!$C$38)),0)</f>
        <v>1680120.8830454326</v>
      </c>
      <c r="M7" s="110">
        <f ca="1">ROUND(L7*IF('Summary Schedule'!$C$38="",1,'Summary Schedule'!$C$38),0)</f>
        <v>1545711</v>
      </c>
      <c r="N7" s="125">
        <f ca="1">'Sch3-Perf Period Cash Flow'!F$23</f>
        <v>1545710</v>
      </c>
      <c r="Q7" s="286"/>
      <c r="W7" s="286"/>
    </row>
    <row r="8" spans="1:23" ht="17" thickBot="1">
      <c r="A8" s="102">
        <v>4</v>
      </c>
      <c r="B8" s="112">
        <f>B7*(1+'Annual Escalation Rates'!B8)</f>
        <v>213601.74397664922</v>
      </c>
      <c r="C8" s="112">
        <f>C7*(1+'Annual Escalation Rates'!C8)</f>
        <v>0</v>
      </c>
      <c r="D8" s="112">
        <f>D7*(1+'Annual Escalation Rates'!D8)</f>
        <v>36234.495915036889</v>
      </c>
      <c r="E8" s="112">
        <f>E7*(1+'Annual Escalation Rates'!E8)</f>
        <v>831372.23943709105</v>
      </c>
      <c r="F8" s="112">
        <f>F7*(1+'Annual Escalation Rates'!F8)</f>
        <v>0</v>
      </c>
      <c r="G8" s="112">
        <f>G7*(1+'Annual Escalation Rates'!G8)</f>
        <v>408835.56592341518</v>
      </c>
      <c r="H8" s="112">
        <f>H7*(1+'Annual Escalation Rates'!H8)</f>
        <v>224082.61512826849</v>
      </c>
      <c r="I8" s="112">
        <f>I7*(1+'Annual Escalation Rates'!I8)</f>
        <v>0</v>
      </c>
      <c r="K8" s="111">
        <v>4</v>
      </c>
      <c r="L8" s="110">
        <f ca="1">SUM(B8:I8)+MAX((INDIRECT("'Sch3-Perf Period Cash Flow'!g"&amp;6&amp;"")/IF('Summary Schedule'!$C$38="",1,'Summary Schedule'!$C$38)),0)</f>
        <v>1714126.6603804608</v>
      </c>
      <c r="M8" s="110">
        <f ca="1">ROUND(L8*IF('Summary Schedule'!$C$38="",1,'Summary Schedule'!$C$38),0)</f>
        <v>1576997</v>
      </c>
      <c r="N8" s="125">
        <f ca="1">'Sch3-Perf Period Cash Flow'!G$23</f>
        <v>1576996</v>
      </c>
      <c r="Q8" s="286"/>
      <c r="W8" s="286"/>
    </row>
    <row r="9" spans="1:23" ht="17" thickBot="1">
      <c r="A9" s="102">
        <v>5</v>
      </c>
      <c r="B9" s="112">
        <f>B8*(1+'Annual Escalation Rates'!B9)</f>
        <v>217510.65589142189</v>
      </c>
      <c r="C9" s="112">
        <f>C8*(1+'Annual Escalation Rates'!C9)</f>
        <v>0</v>
      </c>
      <c r="D9" s="112">
        <f>D8*(1+'Annual Escalation Rates'!D9)</f>
        <v>36680.180214791842</v>
      </c>
      <c r="E9" s="112">
        <f>E8*(1+'Annual Escalation Rates'!E9)</f>
        <v>841598.11798216728</v>
      </c>
      <c r="F9" s="112">
        <f>F8*(1+'Annual Escalation Rates'!F9)</f>
        <v>0</v>
      </c>
      <c r="G9" s="112">
        <f>G8*(1+'Annual Escalation Rates'!G9)</f>
        <v>423962.48186258151</v>
      </c>
      <c r="H9" s="112">
        <f>H8*(1+'Annual Escalation Rates'!H9)</f>
        <v>229236.51527621865</v>
      </c>
      <c r="I9" s="112">
        <f>I8*(1+'Annual Escalation Rates'!I9)</f>
        <v>0</v>
      </c>
      <c r="K9" s="111">
        <v>5</v>
      </c>
      <c r="L9" s="110">
        <f ca="1">SUM(B9:I9)+MAX((INDIRECT("'Sch3-Perf Period Cash Flow'!h"&amp;6&amp;"")/IF('Summary Schedule'!$C$38="",1,'Summary Schedule'!$C$38)),0)</f>
        <v>1748987.9512271811</v>
      </c>
      <c r="M9" s="110">
        <f ca="1">ROUND(L9*IF('Summary Schedule'!$C$38="",1,'Summary Schedule'!$C$38),0)</f>
        <v>1609069</v>
      </c>
      <c r="N9" s="125">
        <f ca="1">'Sch3-Perf Period Cash Flow'!H$23</f>
        <v>1609068</v>
      </c>
      <c r="Q9" s="286"/>
      <c r="W9" s="286"/>
    </row>
    <row r="10" spans="1:23" ht="17" thickBot="1">
      <c r="A10" s="102">
        <v>6</v>
      </c>
      <c r="B10" s="112">
        <f>B9*(1+'Annual Escalation Rates'!B10)</f>
        <v>221491.1008942349</v>
      </c>
      <c r="C10" s="112">
        <f>C9*(1+'Annual Escalation Rates'!C10)</f>
        <v>0</v>
      </c>
      <c r="D10" s="112">
        <f>D9*(1+'Annual Escalation Rates'!D10)</f>
        <v>37131.346431433783</v>
      </c>
      <c r="E10" s="112">
        <f>E9*(1+'Annual Escalation Rates'!E10)</f>
        <v>851949.77483334788</v>
      </c>
      <c r="F10" s="112">
        <f>F9*(1+'Annual Escalation Rates'!F10)</f>
        <v>0</v>
      </c>
      <c r="G10" s="112">
        <f>G9*(1+'Annual Escalation Rates'!G10)</f>
        <v>439649.09369149699</v>
      </c>
      <c r="H10" s="112">
        <f>H9*(1+'Annual Escalation Rates'!H10)</f>
        <v>234508.95512757165</v>
      </c>
      <c r="I10" s="112">
        <f>I9*(1+'Annual Escalation Rates'!I10)</f>
        <v>0</v>
      </c>
      <c r="K10" s="111">
        <v>6</v>
      </c>
      <c r="L10" s="110">
        <f ca="1">SUM(B10:I10)+MAX((INDIRECT("'Sch3-Perf Period Cash Flow'!i"&amp;6&amp;"")/IF('Summary Schedule'!$C$38="",1,'Summary Schedule'!$C$38)),0)</f>
        <v>1784730.2709780852</v>
      </c>
      <c r="M10" s="110">
        <f ca="1">ROUND(L10*IF('Summary Schedule'!$C$38="",1,'Summary Schedule'!$C$38),0)</f>
        <v>1641952</v>
      </c>
      <c r="N10" s="125">
        <f ca="1">'Sch3-Perf Period Cash Flow'!I$23</f>
        <v>1641951</v>
      </c>
      <c r="Q10" s="286"/>
      <c r="W10" s="286"/>
    </row>
    <row r="11" spans="1:23" ht="17" thickBot="1">
      <c r="A11" s="102">
        <v>7</v>
      </c>
      <c r="B11" s="112">
        <f>B10*(1+'Annual Escalation Rates'!B11)</f>
        <v>225544.38804059938</v>
      </c>
      <c r="C11" s="112">
        <f>C10*(1+'Annual Escalation Rates'!C11)</f>
        <v>0</v>
      </c>
      <c r="D11" s="112">
        <f>D10*(1+'Annual Escalation Rates'!D11)</f>
        <v>37588.061992540417</v>
      </c>
      <c r="E11" s="112">
        <f>E10*(1+'Annual Escalation Rates'!E11)</f>
        <v>862428.75706379802</v>
      </c>
      <c r="F11" s="112">
        <f>F10*(1+'Annual Escalation Rates'!F11)</f>
        <v>0</v>
      </c>
      <c r="G11" s="112">
        <f>G10*(1+'Annual Escalation Rates'!G11)</f>
        <v>455916.11015808233</v>
      </c>
      <c r="H11" s="112">
        <f>H10*(1+'Annual Escalation Rates'!H11)</f>
        <v>239902.66109550578</v>
      </c>
      <c r="I11" s="112">
        <f>I10*(1+'Annual Escalation Rates'!I11)</f>
        <v>0</v>
      </c>
      <c r="K11" s="111">
        <v>7</v>
      </c>
      <c r="L11" s="110">
        <f ca="1">SUM(B11:I11)+MAX((INDIRECT("'Sch3-Perf Period Cash Flow'!j"&amp;6&amp;"")/IF('Summary Schedule'!$C$38="",1,'Summary Schedule'!$C$38)),0)</f>
        <v>1821379.978350526</v>
      </c>
      <c r="M11" s="110">
        <f ca="1">ROUND(L11*IF('Summary Schedule'!$C$38="",1,'Summary Schedule'!$C$38),0)</f>
        <v>1675670</v>
      </c>
      <c r="N11" s="125">
        <f ca="1">'Sch3-Perf Period Cash Flow'!J$23</f>
        <v>1675669</v>
      </c>
      <c r="Q11" s="286"/>
      <c r="W11" s="286"/>
    </row>
    <row r="12" spans="1:23" ht="17" thickBot="1">
      <c r="A12" s="102">
        <v>8</v>
      </c>
      <c r="B12" s="112">
        <f>B11*(1+'Annual Escalation Rates'!B12)</f>
        <v>229671.85034174236</v>
      </c>
      <c r="C12" s="112">
        <f>C11*(1+'Annual Escalation Rates'!C12)</f>
        <v>0</v>
      </c>
      <c r="D12" s="112">
        <f>D11*(1+'Annual Escalation Rates'!D12)</f>
        <v>38050.39515504866</v>
      </c>
      <c r="E12" s="112">
        <f>E11*(1+'Annual Escalation Rates'!E12)</f>
        <v>873036.63077568274</v>
      </c>
      <c r="F12" s="112">
        <f>F11*(1+'Annual Escalation Rates'!F12)</f>
        <v>0</v>
      </c>
      <c r="G12" s="112">
        <f>G11*(1+'Annual Escalation Rates'!G12)</f>
        <v>472785.00623393134</v>
      </c>
      <c r="H12" s="112">
        <f>H11*(1+'Annual Escalation Rates'!H12)</f>
        <v>245420.4223007024</v>
      </c>
      <c r="I12" s="112">
        <f>I11*(1+'Annual Escalation Rates'!I12)</f>
        <v>0</v>
      </c>
      <c r="K12" s="111">
        <v>8</v>
      </c>
      <c r="L12" s="110">
        <f ca="1">SUM(B12:I12)+MAX((INDIRECT("'Sch3-Perf Period Cash Flow'!k"&amp;6&amp;"")/IF('Summary Schedule'!$C$38="",1,'Summary Schedule'!$C$38)),0)</f>
        <v>1858964.3048071074</v>
      </c>
      <c r="M12" s="110">
        <f ca="1">ROUND(L12*IF('Summary Schedule'!$C$38="",1,'Summary Schedule'!$C$38),0)</f>
        <v>1710247</v>
      </c>
      <c r="N12" s="125">
        <f ca="1">'Sch3-Perf Period Cash Flow'!K$23</f>
        <v>1710246</v>
      </c>
      <c r="Q12" s="286"/>
      <c r="W12" s="286"/>
    </row>
    <row r="13" spans="1:23" ht="17" thickBot="1">
      <c r="A13" s="102">
        <v>9</v>
      </c>
      <c r="B13" s="112">
        <f>B12*(1+'Annual Escalation Rates'!B13)</f>
        <v>233874.84520299625</v>
      </c>
      <c r="C13" s="112">
        <f>C12*(1+'Annual Escalation Rates'!C13)</f>
        <v>0</v>
      </c>
      <c r="D13" s="112">
        <f>D12*(1+'Annual Escalation Rates'!D13)</f>
        <v>38518.415015455757</v>
      </c>
      <c r="E13" s="112">
        <f>E12*(1+'Annual Escalation Rates'!E13)</f>
        <v>883774.98133422364</v>
      </c>
      <c r="F13" s="112">
        <f>F12*(1+'Annual Escalation Rates'!F13)</f>
        <v>0</v>
      </c>
      <c r="G13" s="112">
        <f>G12*(1+'Annual Escalation Rates'!G13)</f>
        <v>490278.05146458675</v>
      </c>
      <c r="H13" s="112">
        <f>H12*(1+'Annual Escalation Rates'!H13)</f>
        <v>251065.09201361853</v>
      </c>
      <c r="I13" s="112">
        <f>I12*(1+'Annual Escalation Rates'!I13)</f>
        <v>0</v>
      </c>
      <c r="K13" s="111">
        <v>9</v>
      </c>
      <c r="L13" s="110">
        <f ca="1">SUM(B13:I13)+MAX((INDIRECT("'Sch3-Perf Period Cash Flow'!l"&amp;6&amp;"")/IF('Summary Schedule'!$C$38="",1,'Summary Schedule'!$C$38)),0)</f>
        <v>1897511.3850308808</v>
      </c>
      <c r="M13" s="110">
        <f ca="1">ROUND(L13*IF('Summary Schedule'!$C$38="",1,'Summary Schedule'!$C$38),0)</f>
        <v>1745710</v>
      </c>
      <c r="N13" s="125">
        <f ca="1">'Sch3-Perf Period Cash Flow'!L$23</f>
        <v>1745709</v>
      </c>
      <c r="Q13" s="286"/>
      <c r="W13" s="286"/>
    </row>
    <row r="14" spans="1:23" ht="17" thickBot="1">
      <c r="A14" s="102">
        <v>10</v>
      </c>
      <c r="B14" s="112">
        <f>B13*(1+'Annual Escalation Rates'!B14)</f>
        <v>238154.75487021107</v>
      </c>
      <c r="C14" s="112">
        <f>C13*(1+'Annual Escalation Rates'!C14)</f>
        <v>0</v>
      </c>
      <c r="D14" s="112">
        <f>D13*(1+'Annual Escalation Rates'!D14)</f>
        <v>38992.191520145861</v>
      </c>
      <c r="E14" s="112">
        <f>E13*(1+'Annual Escalation Rates'!E14)</f>
        <v>894645.41360463458</v>
      </c>
      <c r="F14" s="112">
        <f>F13*(1+'Annual Escalation Rates'!F14)</f>
        <v>0</v>
      </c>
      <c r="G14" s="112">
        <f>G13*(1+'Annual Escalation Rates'!G14)</f>
        <v>508418.33936877642</v>
      </c>
      <c r="H14" s="112">
        <f>H13*(1+'Annual Escalation Rates'!H14)</f>
        <v>256839.58912993173</v>
      </c>
      <c r="I14" s="112">
        <f>I13*(1+'Annual Escalation Rates'!I14)</f>
        <v>0</v>
      </c>
      <c r="K14" s="111">
        <v>10</v>
      </c>
      <c r="L14" s="110">
        <f ca="1">SUM(B14:I14)+MAX((INDIRECT("'Sch3-Perf Period Cash Flow'!m"&amp;6&amp;"")/IF('Summary Schedule'!$C$38="",1,'Summary Schedule'!$C$38)),0)</f>
        <v>1937050.2884936996</v>
      </c>
      <c r="M14" s="110">
        <f ca="1">ROUND(L14*IF('Summary Schedule'!$C$38="",1,'Summary Schedule'!$C$38),0)</f>
        <v>1782086</v>
      </c>
      <c r="N14" s="125">
        <f ca="1">'Sch3-Perf Period Cash Flow'!M$23</f>
        <v>1782085</v>
      </c>
      <c r="Q14" s="286"/>
      <c r="W14" s="286"/>
    </row>
    <row r="15" spans="1:23" ht="17" thickBot="1">
      <c r="A15" s="102">
        <v>11</v>
      </c>
      <c r="B15" s="112">
        <f>B14*(1+'Annual Escalation Rates'!B15)</f>
        <v>242512.98688433593</v>
      </c>
      <c r="C15" s="112">
        <f>C14*(1+'Annual Escalation Rates'!C15)</f>
        <v>0</v>
      </c>
      <c r="D15" s="112">
        <f>D14*(1+'Annual Escalation Rates'!D15)</f>
        <v>39471.795475843654</v>
      </c>
      <c r="E15" s="112">
        <f>E14*(1+'Annual Escalation Rates'!E15)</f>
        <v>905649.55219197157</v>
      </c>
      <c r="F15" s="112">
        <f>F14*(1+'Annual Escalation Rates'!F15)</f>
        <v>0</v>
      </c>
      <c r="G15" s="112">
        <f>G14*(1+'Annual Escalation Rates'!G15)</f>
        <v>527229.81792542106</v>
      </c>
      <c r="H15" s="112">
        <f>H14*(1+'Annual Escalation Rates'!H15)</f>
        <v>262746.89967992011</v>
      </c>
      <c r="I15" s="112">
        <f>I14*(1+'Annual Escalation Rates'!I15)</f>
        <v>0</v>
      </c>
      <c r="K15" s="111">
        <v>11</v>
      </c>
      <c r="L15" s="110">
        <f ca="1">SUM(B15:I15)+MAX((INDIRECT("'Sch3-Perf Period Cash Flow'!n"&amp;6&amp;"")/IF('Summary Schedule'!$C$38="",1,'Summary Schedule'!$C$38)),0)</f>
        <v>1977611.0521574924</v>
      </c>
      <c r="M15" s="110">
        <f ca="1">ROUND(L15*IF('Summary Schedule'!$C$38="",1,'Summary Schedule'!$C$38),0)</f>
        <v>1819402</v>
      </c>
      <c r="N15" s="125">
        <f ca="1">'Sch3-Perf Period Cash Flow'!N$23</f>
        <v>1819401</v>
      </c>
      <c r="Q15" s="286"/>
      <c r="W15" s="286"/>
    </row>
    <row r="16" spans="1:23" ht="17" thickBot="1">
      <c r="A16" s="102">
        <v>12</v>
      </c>
      <c r="B16" s="112">
        <f>B15*(1+'Annual Escalation Rates'!B16)</f>
        <v>246950.97454431927</v>
      </c>
      <c r="C16" s="112">
        <f>C15*(1+'Annual Escalation Rates'!C16)</f>
        <v>0</v>
      </c>
      <c r="D16" s="112">
        <f>D15*(1+'Annual Escalation Rates'!D16)</f>
        <v>39957.298560196527</v>
      </c>
      <c r="E16" s="112">
        <f>E15*(1+'Annual Escalation Rates'!E16)</f>
        <v>916789.04168393277</v>
      </c>
      <c r="F16" s="112">
        <f>F15*(1+'Annual Escalation Rates'!F16)</f>
        <v>0</v>
      </c>
      <c r="G16" s="112">
        <f>G15*(1+'Annual Escalation Rates'!G16)</f>
        <v>546737.32118866162</v>
      </c>
      <c r="H16" s="112">
        <f>H15*(1+'Annual Escalation Rates'!H16)</f>
        <v>268790.07837255823</v>
      </c>
      <c r="I16" s="112">
        <f>I15*(1+'Annual Escalation Rates'!I16)</f>
        <v>0</v>
      </c>
      <c r="K16" s="111">
        <v>12</v>
      </c>
      <c r="L16" s="110">
        <f ca="1">SUM(B16:I16)+MAX((INDIRECT("'Sch3-Perf Period Cash Flow'!o"&amp;6&amp;"")/IF('Summary Schedule'!$C$38="",1,'Summary Schedule'!$C$38)),0)</f>
        <v>2019224.7143496685</v>
      </c>
      <c r="M16" s="110">
        <f ca="1">ROUND(L16*IF('Summary Schedule'!$C$38="",1,'Summary Schedule'!$C$38),0)</f>
        <v>1857687</v>
      </c>
      <c r="N16" s="125">
        <f ca="1">'Sch3-Perf Period Cash Flow'!O$23</f>
        <v>1857686</v>
      </c>
      <c r="Q16" s="286"/>
      <c r="W16" s="286"/>
    </row>
    <row r="17" spans="1:23" ht="17" thickBot="1">
      <c r="A17" s="102">
        <v>13</v>
      </c>
      <c r="B17" s="112">
        <f>B16*(1+'Annual Escalation Rates'!B17)</f>
        <v>251470.17737848029</v>
      </c>
      <c r="C17" s="112">
        <f>C16*(1+'Annual Escalation Rates'!C17)</f>
        <v>0</v>
      </c>
      <c r="D17" s="112">
        <f>D16*(1+'Annual Escalation Rates'!D17)</f>
        <v>40448.77333248694</v>
      </c>
      <c r="E17" s="112">
        <f>E16*(1+'Annual Escalation Rates'!E17)</f>
        <v>928065.5468966451</v>
      </c>
      <c r="F17" s="112">
        <f>F16*(1+'Annual Escalation Rates'!F17)</f>
        <v>0</v>
      </c>
      <c r="G17" s="112">
        <f>G16*(1+'Annual Escalation Rates'!G17)</f>
        <v>566966.60207264207</v>
      </c>
      <c r="H17" s="112">
        <f>H16*(1+'Annual Escalation Rates'!H17)</f>
        <v>274972.25017512706</v>
      </c>
      <c r="I17" s="112">
        <f>I16*(1+'Annual Escalation Rates'!I17)</f>
        <v>0</v>
      </c>
      <c r="K17" s="111">
        <v>13</v>
      </c>
      <c r="L17" s="110">
        <f ca="1">SUM(B17:I17)+MAX((INDIRECT("'Sch3-Perf Period Cash Flow'!p"&amp;6&amp;"")/IF('Summary Schedule'!$C$38="",1,'Summary Schedule'!$C$38)),0)</f>
        <v>2061923.3498553813</v>
      </c>
      <c r="M17" s="110">
        <f ca="1">ROUND(L17*IF('Summary Schedule'!$C$38="",1,'Summary Schedule'!$C$38),0)</f>
        <v>1896969</v>
      </c>
      <c r="N17" s="125">
        <f ca="1">'Sch3-Perf Period Cash Flow'!P$23</f>
        <v>1896968</v>
      </c>
      <c r="Q17" s="286"/>
      <c r="W17" s="286"/>
    </row>
    <row r="18" spans="1:23" ht="17" thickBot="1">
      <c r="A18" s="102">
        <v>14</v>
      </c>
      <c r="B18" s="112">
        <f>B17*(1+'Annual Escalation Rates'!B18)</f>
        <v>256072.08162450648</v>
      </c>
      <c r="C18" s="112">
        <f>C17*(1+'Annual Escalation Rates'!C18)</f>
        <v>0</v>
      </c>
      <c r="D18" s="112">
        <f>D17*(1+'Annual Escalation Rates'!D18)</f>
        <v>40946.293244476532</v>
      </c>
      <c r="E18" s="112">
        <f>E17*(1+'Annual Escalation Rates'!E18)</f>
        <v>939480.75312347384</v>
      </c>
      <c r="F18" s="112">
        <f>F17*(1+'Annual Escalation Rates'!F18)</f>
        <v>0</v>
      </c>
      <c r="G18" s="112">
        <f>G17*(1+'Annual Escalation Rates'!G18)</f>
        <v>587944.36634932982</v>
      </c>
      <c r="H18" s="112">
        <f>H17*(1+'Annual Escalation Rates'!H18)</f>
        <v>281296.61192915495</v>
      </c>
      <c r="I18" s="112">
        <f>I17*(1+'Annual Escalation Rates'!I18)</f>
        <v>0</v>
      </c>
      <c r="K18" s="111">
        <v>14</v>
      </c>
      <c r="L18" s="110">
        <f ca="1">SUM(B18:I18)+MAX((INDIRECT("'Sch3-Perf Period Cash Flow'!q"&amp;6&amp;"")/IF('Summary Schedule'!$C$38="",1,'Summary Schedule'!$C$38)),0)</f>
        <v>2105740.1062709414</v>
      </c>
      <c r="M18" s="110">
        <f ca="1">ROUND(L18*IF('Summary Schedule'!$C$38="",1,'Summary Schedule'!$C$38),0)</f>
        <v>1937281</v>
      </c>
      <c r="N18" s="125">
        <f ca="1">'Sch3-Perf Period Cash Flow'!Q$23</f>
        <v>1937280</v>
      </c>
      <c r="Q18" s="286"/>
      <c r="W18" s="286"/>
    </row>
    <row r="19" spans="1:23" ht="17" thickBot="1">
      <c r="A19" s="102">
        <v>15</v>
      </c>
      <c r="B19" s="112">
        <f>B18*(1+'Annual Escalation Rates'!B19)</f>
        <v>260758.20071823493</v>
      </c>
      <c r="C19" s="112">
        <f>C18*(1+'Annual Escalation Rates'!C19)</f>
        <v>0</v>
      </c>
      <c r="D19" s="112">
        <f>D18*(1+'Annual Escalation Rates'!D19)</f>
        <v>41449.932651383591</v>
      </c>
      <c r="E19" s="112">
        <f>E18*(1+'Annual Escalation Rates'!E19)</f>
        <v>951036.36638689251</v>
      </c>
      <c r="F19" s="112">
        <f>F18*(1+'Annual Escalation Rates'!F19)</f>
        <v>0</v>
      </c>
      <c r="G19" s="112">
        <f>G18*(1+'Annual Escalation Rates'!G19)</f>
        <v>609698.30790425499</v>
      </c>
      <c r="H19" s="112">
        <f>H18*(1+'Annual Escalation Rates'!H19)</f>
        <v>287766.43400352547</v>
      </c>
      <c r="I19" s="112">
        <f>I18*(1+'Annual Escalation Rates'!I19)</f>
        <v>0</v>
      </c>
      <c r="K19" s="111">
        <v>15</v>
      </c>
      <c r="L19" s="110">
        <f ca="1">SUM(B19:I19)+MAX((INDIRECT("'Sch3-Perf Period Cash Flow'!r"&amp;6&amp;"")/IF('Summary Schedule'!$C$38="",1,'Summary Schedule'!$C$38)),0)</f>
        <v>2150709.2416642914</v>
      </c>
      <c r="M19" s="110">
        <f ca="1">ROUND(L19*IF('Summary Schedule'!$C$38="",1,'Summary Schedule'!$C$38),0)</f>
        <v>1978653</v>
      </c>
      <c r="N19" s="125">
        <f ca="1">'Sch3-Perf Period Cash Flow'!R$23</f>
        <v>1978652</v>
      </c>
      <c r="Q19" s="286"/>
      <c r="W19" s="286"/>
    </row>
    <row r="20" spans="1:23" ht="17" thickBot="1">
      <c r="A20" s="102">
        <v>16</v>
      </c>
      <c r="B20" s="112">
        <f>B19*(1+'Annual Escalation Rates'!B20)</f>
        <v>265530.07579137862</v>
      </c>
      <c r="C20" s="112">
        <f>C19*(1+'Annual Escalation Rates'!C20)</f>
        <v>0</v>
      </c>
      <c r="D20" s="112">
        <f>D19*(1+'Annual Escalation Rates'!D20)</f>
        <v>41959.766822995611</v>
      </c>
      <c r="E20" s="112">
        <f>E19*(1+'Annual Escalation Rates'!E20)</f>
        <v>962734.11369345128</v>
      </c>
      <c r="F20" s="112">
        <f>F19*(1+'Annual Escalation Rates'!F20)</f>
        <v>0</v>
      </c>
      <c r="G20" s="112">
        <f>G19*(1+'Annual Escalation Rates'!G20)</f>
        <v>632257.14529671241</v>
      </c>
      <c r="H20" s="112">
        <f>H19*(1+'Annual Escalation Rates'!H20)</f>
        <v>294385.06198560656</v>
      </c>
      <c r="I20" s="112">
        <f>I19*(1+'Annual Escalation Rates'!I20)</f>
        <v>0</v>
      </c>
      <c r="K20" s="111">
        <v>16</v>
      </c>
      <c r="L20" s="110">
        <f ca="1">SUM(B20:I20)+MAX((INDIRECT("'Sch3-Perf Period Cash Flow'!s"&amp;6&amp;"")/IF('Summary Schedule'!$C$38="",1,'Summary Schedule'!$C$38)),0)</f>
        <v>2196866.1635901444</v>
      </c>
      <c r="M20" s="110">
        <f ca="1">ROUND(L20*IF('Summary Schedule'!$C$38="",1,'Summary Schedule'!$C$38),0)</f>
        <v>2021117</v>
      </c>
      <c r="N20" s="125">
        <f ca="1">'Sch3-Perf Period Cash Flow'!S$23</f>
        <v>2021116</v>
      </c>
      <c r="Q20" s="286"/>
      <c r="W20" s="286"/>
    </row>
    <row r="21" spans="1:23" ht="17" thickBot="1">
      <c r="A21" s="102">
        <v>17</v>
      </c>
      <c r="B21" s="112">
        <f>B20*(1+'Annual Escalation Rates'!B21)</f>
        <v>270389.27617836086</v>
      </c>
      <c r="C21" s="112">
        <f>C20*(1+'Annual Escalation Rates'!C21)</f>
        <v>0</v>
      </c>
      <c r="D21" s="112">
        <f>D20*(1+'Annual Escalation Rates'!D21)</f>
        <v>42475.871954918453</v>
      </c>
      <c r="E21" s="112">
        <f>E20*(1+'Annual Escalation Rates'!E21)</f>
        <v>974575.7432918807</v>
      </c>
      <c r="F21" s="112">
        <f>F20*(1+'Annual Escalation Rates'!F21)</f>
        <v>0</v>
      </c>
      <c r="G21" s="112">
        <f>G20*(1+'Annual Escalation Rates'!G21)</f>
        <v>655650.65967269067</v>
      </c>
      <c r="H21" s="112">
        <f>H20*(1+'Annual Escalation Rates'!H21)</f>
        <v>301155.91841127549</v>
      </c>
      <c r="I21" s="112">
        <f>I20*(1+'Annual Escalation Rates'!I21)</f>
        <v>0</v>
      </c>
      <c r="K21" s="111">
        <v>17</v>
      </c>
      <c r="L21" s="110">
        <f ca="1">SUM(B21:I21)+MAX((INDIRECT("'Sch3-Perf Period Cash Flow'!t"&amp;6&amp;"")/IF('Summary Schedule'!$C$38="",1,'Summary Schedule'!$C$38)),0)</f>
        <v>2244247.4695091262</v>
      </c>
      <c r="M21" s="110">
        <f ca="1">ROUND(L21*IF('Summary Schedule'!$C$38="",1,'Summary Schedule'!$C$38),0)</f>
        <v>2064708</v>
      </c>
      <c r="N21" s="125">
        <f ca="1">'Sch3-Perf Period Cash Flow'!T$23</f>
        <v>2064707</v>
      </c>
      <c r="Q21" s="286"/>
      <c r="W21" s="286"/>
    </row>
    <row r="22" spans="1:23" ht="17" thickBot="1">
      <c r="A22" s="102">
        <v>18</v>
      </c>
      <c r="B22" s="112">
        <f>B21*(1+'Annual Escalation Rates'!B22)</f>
        <v>275337.39993242483</v>
      </c>
      <c r="C22" s="112">
        <f>C21*(1+'Annual Escalation Rates'!C22)</f>
        <v>0</v>
      </c>
      <c r="D22" s="112">
        <f>D21*(1+'Annual Escalation Rates'!D22)</f>
        <v>42998.325179963947</v>
      </c>
      <c r="E22" s="112">
        <f>E21*(1+'Annual Escalation Rates'!E22)</f>
        <v>986563.02493437077</v>
      </c>
      <c r="F22" s="112">
        <f>F21*(1+'Annual Escalation Rates'!F22)</f>
        <v>0</v>
      </c>
      <c r="G22" s="112">
        <f>G21*(1+'Annual Escalation Rates'!G22)</f>
        <v>679909.73408058018</v>
      </c>
      <c r="H22" s="112">
        <f>H21*(1+'Annual Escalation Rates'!H22)</f>
        <v>308082.50453473482</v>
      </c>
      <c r="I22" s="112">
        <f>I21*(1+'Annual Escalation Rates'!I22)</f>
        <v>0</v>
      </c>
      <c r="K22" s="111">
        <v>18</v>
      </c>
      <c r="L22" s="110">
        <f ca="1">SUM(B22:I22)+MAX((INDIRECT("'Sch3-Perf Period Cash Flow'!u"&amp;6&amp;"")/IF('Summary Schedule'!$C$38="",1,'Summary Schedule'!$C$38)),0)</f>
        <v>2292890.9886620748</v>
      </c>
      <c r="M22" s="110">
        <f ca="1">ROUND(L22*IF('Summary Schedule'!$C$38="",1,'Summary Schedule'!$C$38),0)</f>
        <v>2109460</v>
      </c>
      <c r="N22" s="125">
        <f ca="1">'Sch3-Perf Period Cash Flow'!U$23</f>
        <v>1261945</v>
      </c>
      <c r="Q22" s="286"/>
      <c r="W22" s="286"/>
    </row>
    <row r="23" spans="1:23" ht="17" thickBot="1">
      <c r="A23" s="102">
        <v>19</v>
      </c>
      <c r="B23" s="112">
        <f>B22*(1+'Annual Escalation Rates'!B23)</f>
        <v>280376.0743511882</v>
      </c>
      <c r="C23" s="112">
        <f>C22*(1+'Annual Escalation Rates'!C23)</f>
        <v>0</v>
      </c>
      <c r="D23" s="112">
        <f>D22*(1+'Annual Escalation Rates'!D23)</f>
        <v>43527.204579677506</v>
      </c>
      <c r="E23" s="112">
        <f>E22*(1+'Annual Escalation Rates'!E23)</f>
        <v>998697.75014106347</v>
      </c>
      <c r="F23" s="112">
        <f>F22*(1+'Annual Escalation Rates'!F23)</f>
        <v>0</v>
      </c>
      <c r="G23" s="112">
        <f>G22*(1+'Annual Escalation Rates'!G23)</f>
        <v>705066.39424156165</v>
      </c>
      <c r="H23" s="112">
        <f>H22*(1+'Annual Escalation Rates'!H23)</f>
        <v>315168.40213903371</v>
      </c>
      <c r="I23" s="112">
        <f>I22*(1+'Annual Escalation Rates'!I23)</f>
        <v>0</v>
      </c>
      <c r="K23" s="111">
        <v>19</v>
      </c>
      <c r="L23" s="110">
        <f ca="1">SUM(B23:I23)+MAX((INDIRECT("'Sch3-Perf Period Cash Flow'!v"&amp;6&amp;"")/IF('Summary Schedule'!$C$38="",1,'Summary Schedule'!$C$38)),0)</f>
        <v>2342835.8254525247</v>
      </c>
      <c r="M23" s="110">
        <f ca="1">ROUND(L23*IF('Summary Schedule'!$C$38="",1,'Summary Schedule'!$C$38),0)</f>
        <v>2155409</v>
      </c>
      <c r="N23" s="125">
        <f ca="1">'Sch3-Perf Period Cash Flow'!V$23</f>
        <v>0</v>
      </c>
      <c r="Q23" s="286"/>
      <c r="W23" s="286"/>
    </row>
    <row r="24" spans="1:23" ht="17" thickBot="1">
      <c r="A24" s="102">
        <v>20</v>
      </c>
      <c r="B24" s="112">
        <f>B23*(1+'Annual Escalation Rates'!B24)</f>
        <v>285506.95651181496</v>
      </c>
      <c r="C24" s="112">
        <f>C23*(1+'Annual Escalation Rates'!C24)</f>
        <v>0</v>
      </c>
      <c r="D24" s="112">
        <f>D23*(1+'Annual Escalation Rates'!D24)</f>
        <v>44062.589196007539</v>
      </c>
      <c r="E24" s="112">
        <f>E23*(1+'Annual Escalation Rates'!E24)</f>
        <v>1010981.7324677985</v>
      </c>
      <c r="F24" s="112">
        <f>F23*(1+'Annual Escalation Rates'!F24)</f>
        <v>0</v>
      </c>
      <c r="G24" s="112">
        <f>G23*(1+'Annual Escalation Rates'!G24)</f>
        <v>731153.85082849942</v>
      </c>
      <c r="H24" s="112">
        <f>H23*(1+'Annual Escalation Rates'!H24)</f>
        <v>322417.27538823144</v>
      </c>
      <c r="I24" s="112">
        <f>I23*(1+'Annual Escalation Rates'!I24)</f>
        <v>0</v>
      </c>
      <c r="K24" s="111">
        <v>20</v>
      </c>
      <c r="L24" s="110">
        <f ca="1">SUM(B24:I24)+MAX((INDIRECT("'Sch3-Perf Period Cash Flow'!w"&amp;6&amp;"")/IF('Summary Schedule'!$C$38="",1,'Summary Schedule'!$C$38)),0)</f>
        <v>2394122.4043923519</v>
      </c>
      <c r="M24" s="110">
        <f ca="1">ROUND(L24*IF('Summary Schedule'!$C$38="",1,'Summary Schedule'!$C$38),0)</f>
        <v>2202593</v>
      </c>
      <c r="N24" s="125">
        <f ca="1">'Sch3-Perf Period Cash Flow'!W$23</f>
        <v>0</v>
      </c>
      <c r="Q24" s="286"/>
      <c r="W24" s="286"/>
    </row>
    <row r="25" spans="1:23" ht="17" thickBot="1">
      <c r="A25" s="102">
        <v>21</v>
      </c>
      <c r="B25" s="112">
        <f>B24*(1+'Annual Escalation Rates'!B25)</f>
        <v>290731.73381598119</v>
      </c>
      <c r="C25" s="112">
        <f>C24*(1+'Annual Escalation Rates'!C25)</f>
        <v>0</v>
      </c>
      <c r="D25" s="112">
        <f>D24*(1+'Annual Escalation Rates'!D25)</f>
        <v>44604.559043118432</v>
      </c>
      <c r="E25" s="112">
        <f>E24*(1+'Annual Escalation Rates'!E25)</f>
        <v>1023416.8077771524</v>
      </c>
      <c r="F25" s="112">
        <f>F24*(1+'Annual Escalation Rates'!F25)</f>
        <v>0</v>
      </c>
      <c r="G25" s="112">
        <f>G24*(1+'Annual Escalation Rates'!G25)</f>
        <v>758206.54330915387</v>
      </c>
      <c r="H25" s="112">
        <f>H24*(1+'Annual Escalation Rates'!H25)</f>
        <v>329832.87272216071</v>
      </c>
      <c r="I25" s="112">
        <f>I24*(1+'Annual Escalation Rates'!I25)</f>
        <v>0</v>
      </c>
      <c r="K25" s="111">
        <v>21</v>
      </c>
      <c r="L25" s="110">
        <f ca="1">SUM(B25:I25)+MAX((INDIRECT("'Sch3-Perf Period Cash Flow'!x"&amp;6&amp;"")/IF('Summary Schedule'!$C$38="",1,'Summary Schedule'!$C$38)),0)</f>
        <v>2446792.5166675663</v>
      </c>
      <c r="M25" s="110">
        <f ca="1">ROUND(L25*IF('Summary Schedule'!$C$38="",1,'Summary Schedule'!$C$38),0)</f>
        <v>2251049</v>
      </c>
      <c r="N25" s="125">
        <f ca="1">'Sch3-Perf Period Cash Flow'!X$23</f>
        <v>0</v>
      </c>
      <c r="Q25" s="286"/>
      <c r="W25" s="286"/>
    </row>
    <row r="26" spans="1:23" ht="17" thickBot="1">
      <c r="A26" s="102">
        <v>22</v>
      </c>
      <c r="B26" s="112">
        <f>B25*(1+'Annual Escalation Rates'!B26)</f>
        <v>296052.12454481365</v>
      </c>
      <c r="C26" s="112">
        <f>C25*(1+'Annual Escalation Rates'!C26)</f>
        <v>0</v>
      </c>
      <c r="D26" s="112">
        <f>D25*(1+'Annual Escalation Rates'!D26)</f>
        <v>45153.195119348791</v>
      </c>
      <c r="E26" s="112">
        <f>E25*(1+'Annual Escalation Rates'!E26)</f>
        <v>1036004.8345128114</v>
      </c>
      <c r="F26" s="112">
        <f>F25*(1+'Annual Escalation Rates'!F26)</f>
        <v>0</v>
      </c>
      <c r="G26" s="112">
        <f>G25*(1+'Annual Escalation Rates'!G26)</f>
        <v>786260.18541159248</v>
      </c>
      <c r="H26" s="112">
        <f>H25*(1+'Annual Escalation Rates'!H26)</f>
        <v>337419.02879477036</v>
      </c>
      <c r="I26" s="112">
        <f>I25*(1+'Annual Escalation Rates'!I26)</f>
        <v>0</v>
      </c>
      <c r="K26" s="111">
        <v>22</v>
      </c>
      <c r="L26" s="110">
        <f ca="1">SUM(B26:I26)+MAX((INDIRECT("'Sch3-Perf Period Cash Flow'!y"&amp;6&amp;"")/IF('Summary Schedule'!$C$38="",1,'Summary Schedule'!$C$38)),0)</f>
        <v>2500889.3683833368</v>
      </c>
      <c r="M26" s="110">
        <f ca="1">ROUND(L26*IF('Summary Schedule'!$C$38="",1,'Summary Schedule'!$C$38),0)</f>
        <v>2300818</v>
      </c>
      <c r="N26" s="125">
        <f ca="1">'Sch3-Perf Period Cash Flow'!Y$23</f>
        <v>0</v>
      </c>
      <c r="Q26" s="286"/>
      <c r="W26" s="286"/>
    </row>
    <row r="27" spans="1:23" ht="17" thickBot="1">
      <c r="A27" s="102">
        <v>23</v>
      </c>
      <c r="B27" s="112">
        <f>B26*(1+'Annual Escalation Rates'!B27)</f>
        <v>301469.87842398376</v>
      </c>
      <c r="C27" s="112">
        <f>C26*(1+'Annual Escalation Rates'!C27)</f>
        <v>0</v>
      </c>
      <c r="D27" s="112">
        <f>D26*(1+'Annual Escalation Rates'!D27)</f>
        <v>45708.579419316782</v>
      </c>
      <c r="E27" s="112">
        <f>E26*(1+'Annual Escalation Rates'!E27)</f>
        <v>1048747.6939773189</v>
      </c>
      <c r="F27" s="112">
        <f>F26*(1+'Annual Escalation Rates'!F27)</f>
        <v>0</v>
      </c>
      <c r="G27" s="112">
        <f>G26*(1+'Annual Escalation Rates'!G27)</f>
        <v>815351.81227182131</v>
      </c>
      <c r="H27" s="112">
        <f>H26*(1+'Annual Escalation Rates'!H27)</f>
        <v>345179.66645705007</v>
      </c>
      <c r="I27" s="112">
        <f>I26*(1+'Annual Escalation Rates'!I27)</f>
        <v>0</v>
      </c>
      <c r="K27" s="111">
        <v>23</v>
      </c>
      <c r="L27" s="110">
        <f ca="1">SUM(B27:I27)+MAX((INDIRECT("'Sch3-Perf Period Cash Flow'!z"&amp;6&amp;"")/IF('Summary Schedule'!$C$38="",1,'Summary Schedule'!$C$38)),0)</f>
        <v>2556457.6305494909</v>
      </c>
      <c r="M27" s="110">
        <f ca="1">ROUND(L27*IF('Summary Schedule'!$C$38="",1,'Summary Schedule'!$C$38),0)</f>
        <v>2351941</v>
      </c>
      <c r="N27" s="125">
        <f ca="1">'Sch3-Perf Period Cash Flow'!Z$23</f>
        <v>0</v>
      </c>
      <c r="Q27" s="286"/>
      <c r="W27" s="286"/>
    </row>
    <row r="28" spans="1:23" ht="17" thickBot="1">
      <c r="A28" s="102">
        <v>24</v>
      </c>
      <c r="B28" s="112">
        <f>B27*(1+'Annual Escalation Rates'!B28)</f>
        <v>306986.77719914267</v>
      </c>
      <c r="C28" s="112">
        <f>C27*(1+'Annual Escalation Rates'!C28)</f>
        <v>0</v>
      </c>
      <c r="D28" s="112">
        <f>D27*(1+'Annual Escalation Rates'!D28)</f>
        <v>46270.794946174377</v>
      </c>
      <c r="E28" s="112">
        <f>E27*(1+'Annual Escalation Rates'!E28)</f>
        <v>1061647.2906132399</v>
      </c>
      <c r="F28" s="112">
        <f>F27*(1+'Annual Escalation Rates'!F28)</f>
        <v>0</v>
      </c>
      <c r="G28" s="112">
        <f>G27*(1+'Annual Escalation Rates'!G28)</f>
        <v>845519.82932587864</v>
      </c>
      <c r="H28" s="112">
        <f>H27*(1+'Annual Escalation Rates'!H28)</f>
        <v>353118.79878556222</v>
      </c>
      <c r="I28" s="112">
        <f>I27*(1+'Annual Escalation Rates'!I28)</f>
        <v>0</v>
      </c>
      <c r="K28" s="111">
        <v>24</v>
      </c>
      <c r="L28" s="110">
        <f ca="1">SUM(B28:I28)+MAX((INDIRECT("'Sch3-Perf Period Cash Flow'!aa"&amp;6&amp;"")/IF('Summary Schedule'!$C$38="",1,'Summary Schedule'!$C$38)),0)</f>
        <v>2613543.4908699975</v>
      </c>
      <c r="M28" s="110">
        <f ca="1">ROUND(L28*IF('Summary Schedule'!$C$38="",1,'Summary Schedule'!$C$38),0)</f>
        <v>2404460</v>
      </c>
      <c r="N28" s="125">
        <f ca="1">'Sch3-Perf Period Cash Flow'!AA$23</f>
        <v>0</v>
      </c>
      <c r="Q28" s="286"/>
      <c r="W28" s="286"/>
    </row>
    <row r="29" spans="1:23" ht="17" thickBot="1">
      <c r="A29" s="102">
        <v>25</v>
      </c>
      <c r="B29" s="112">
        <f>B28*(1+'Annual Escalation Rates'!B29)</f>
        <v>312604.63522188697</v>
      </c>
      <c r="C29" s="112">
        <f>C28*(1+'Annual Escalation Rates'!C29)</f>
        <v>0</v>
      </c>
      <c r="D29" s="112">
        <f>D28*(1+'Annual Escalation Rates'!D29)</f>
        <v>46839.925724012319</v>
      </c>
      <c r="E29" s="112">
        <f>E28*(1+'Annual Escalation Rates'!E29)</f>
        <v>1074705.5522877828</v>
      </c>
      <c r="F29" s="112">
        <f>F28*(1+'Annual Escalation Rates'!F29)</f>
        <v>0</v>
      </c>
      <c r="G29" s="112">
        <f>G28*(1+'Annual Escalation Rates'!G29)</f>
        <v>876804.06301093614</v>
      </c>
      <c r="H29" s="112">
        <f>H28*(1+'Annual Escalation Rates'!H29)</f>
        <v>361240.53115763015</v>
      </c>
      <c r="I29" s="112">
        <f>I28*(1+'Annual Escalation Rates'!I29)</f>
        <v>0</v>
      </c>
      <c r="K29" s="111">
        <v>25</v>
      </c>
      <c r="L29" s="110">
        <f ca="1">SUM(B29:I29)+MAX((INDIRECT("'Sch3-Perf Period Cash Flow'!ab"&amp;6&amp;"")/IF('Summary Schedule'!$C$38="",1,'Summary Schedule'!$C$38)),0)</f>
        <v>2672194.7074022484</v>
      </c>
      <c r="M29" s="110">
        <f ca="1">ROUND(L29*IF('Summary Schedule'!$C$38="",1,'Summary Schedule'!$C$38),0)</f>
        <v>2458419</v>
      </c>
      <c r="N29" s="125">
        <f ca="1">'Sch3-Perf Period Cash Flow'!AB$23</f>
        <v>0</v>
      </c>
      <c r="Q29" s="286"/>
      <c r="W29" s="286"/>
    </row>
    <row r="30" spans="1:23" ht="17" thickBot="1">
      <c r="A30" s="102">
        <v>26</v>
      </c>
      <c r="B30" s="112">
        <f>B29*(1+'Annual Escalation Rates'!B30)</f>
        <v>312604.63522188697</v>
      </c>
      <c r="C30" s="112">
        <f>C29*(1+'Annual Escalation Rates'!C30)</f>
        <v>0</v>
      </c>
      <c r="D30" s="112">
        <f>D29*(1+'Annual Escalation Rates'!D30)</f>
        <v>46839.925724012319</v>
      </c>
      <c r="E30" s="112">
        <f>E29*(1+'Annual Escalation Rates'!E30)</f>
        <v>1074705.5522877828</v>
      </c>
      <c r="F30" s="112">
        <f>F29*(1+'Annual Escalation Rates'!F30)</f>
        <v>0</v>
      </c>
      <c r="G30" s="112">
        <f>G29*(1+'Annual Escalation Rates'!G30)</f>
        <v>876804.06301093614</v>
      </c>
      <c r="H30" s="112">
        <f>H29*(1+'Annual Escalation Rates'!H30)</f>
        <v>361240.53115763015</v>
      </c>
      <c r="I30" s="112">
        <f>I29*(1+'Annual Escalation Rates'!I30)</f>
        <v>0</v>
      </c>
      <c r="K30" s="111">
        <v>26</v>
      </c>
      <c r="L30" s="110">
        <f ca="1">SUM(B30:I30)+MAX((INDIRECT("'Sch3-Perf Period Cash Flow'!ab"&amp;6&amp;"")/IF('Summary Schedule'!$C$38="",1,'Summary Schedule'!$C$38)),0)</f>
        <v>2672194.7074022484</v>
      </c>
      <c r="M30" s="110">
        <f ca="1">ROUND(L30*IF('Summary Schedule'!$C$38="",1,'Summary Schedule'!$C$38),0)</f>
        <v>2458419</v>
      </c>
      <c r="N30" s="125">
        <f ca="1">'Sch3-Perf Period Cash Flow'!AC$23</f>
        <v>0</v>
      </c>
    </row>
    <row r="31" spans="1:23" ht="17" thickBot="1">
      <c r="A31" s="102">
        <v>27</v>
      </c>
      <c r="B31" s="112">
        <f>B30*(1+'Annual Escalation Rates'!B31)</f>
        <v>312604.63522188697</v>
      </c>
      <c r="C31" s="112">
        <f>C30*(1+'Annual Escalation Rates'!C31)</f>
        <v>0</v>
      </c>
      <c r="D31" s="112">
        <f>D30*(1+'Annual Escalation Rates'!D31)</f>
        <v>46839.925724012319</v>
      </c>
      <c r="E31" s="112">
        <f>E30*(1+'Annual Escalation Rates'!E31)</f>
        <v>1074705.5522877828</v>
      </c>
      <c r="F31" s="112">
        <f>F30*(1+'Annual Escalation Rates'!F31)</f>
        <v>0</v>
      </c>
      <c r="G31" s="112">
        <f>G30*(1+'Annual Escalation Rates'!G31)</f>
        <v>876804.06301093614</v>
      </c>
      <c r="H31" s="112">
        <f>H30*(1+'Annual Escalation Rates'!H31)</f>
        <v>361240.53115763015</v>
      </c>
      <c r="I31" s="112">
        <f>I30*(1+'Annual Escalation Rates'!I31)</f>
        <v>0</v>
      </c>
      <c r="K31" s="111">
        <v>27</v>
      </c>
      <c r="L31" s="110">
        <f ca="1">SUM(B31:I31)+MAX((INDIRECT("'Sch3-Perf Period Cash Flow'!ab"&amp;6&amp;"")/IF('Summary Schedule'!$C$38="",1,'Summary Schedule'!$C$38)),0)</f>
        <v>2672194.7074022484</v>
      </c>
      <c r="M31" s="110">
        <f ca="1">ROUND(L31*IF('Summary Schedule'!$C$38="",1,'Summary Schedule'!$C$38),0)</f>
        <v>2458419</v>
      </c>
      <c r="N31" s="125">
        <f ca="1">'Sch3-Perf Period Cash Flow'!AD$23</f>
        <v>0</v>
      </c>
    </row>
    <row r="32" spans="1:23" ht="17" thickBot="1">
      <c r="A32" s="102">
        <v>28</v>
      </c>
      <c r="B32" s="112">
        <f>B31*(1+'Annual Escalation Rates'!B32)</f>
        <v>312604.63522188697</v>
      </c>
      <c r="C32" s="112">
        <f>C31*(1+'Annual Escalation Rates'!C32)</f>
        <v>0</v>
      </c>
      <c r="D32" s="112">
        <f>D31*(1+'Annual Escalation Rates'!D32)</f>
        <v>46839.925724012319</v>
      </c>
      <c r="E32" s="112">
        <f>E31*(1+'Annual Escalation Rates'!E32)</f>
        <v>1074705.5522877828</v>
      </c>
      <c r="F32" s="112">
        <f>F31*(1+'Annual Escalation Rates'!F32)</f>
        <v>0</v>
      </c>
      <c r="G32" s="112">
        <f>G31*(1+'Annual Escalation Rates'!G32)</f>
        <v>876804.06301093614</v>
      </c>
      <c r="H32" s="112">
        <f>H31*(1+'Annual Escalation Rates'!H32)</f>
        <v>361240.53115763015</v>
      </c>
      <c r="I32" s="112">
        <f>I31*(1+'Annual Escalation Rates'!I32)</f>
        <v>0</v>
      </c>
      <c r="K32" s="111">
        <v>28</v>
      </c>
      <c r="L32" s="110">
        <f ca="1">SUM(B32:I32)+MAX((INDIRECT("'Sch3-Perf Period Cash Flow'!ab"&amp;6&amp;"")/IF('Summary Schedule'!$C$38="",1,'Summary Schedule'!$C$38)),0)</f>
        <v>2672194.7074022484</v>
      </c>
      <c r="M32" s="110">
        <f ca="1">ROUND(L32*IF('Summary Schedule'!$C$38="",1,'Summary Schedule'!$C$38),0)</f>
        <v>2458419</v>
      </c>
      <c r="N32" s="125">
        <f ca="1">'Sch3-Perf Period Cash Flow'!AE$23</f>
        <v>0</v>
      </c>
    </row>
    <row r="33" spans="1:14" ht="17" thickBot="1">
      <c r="A33" s="102">
        <v>29</v>
      </c>
      <c r="B33" s="112">
        <f>B32*(1+'Annual Escalation Rates'!B33)</f>
        <v>312604.63522188697</v>
      </c>
      <c r="C33" s="112">
        <f>C32*(1+'Annual Escalation Rates'!C33)</f>
        <v>0</v>
      </c>
      <c r="D33" s="112">
        <f>D32*(1+'Annual Escalation Rates'!D33)</f>
        <v>46839.925724012319</v>
      </c>
      <c r="E33" s="112">
        <f>E32*(1+'Annual Escalation Rates'!E33)</f>
        <v>1074705.5522877828</v>
      </c>
      <c r="F33" s="112">
        <f>F32*(1+'Annual Escalation Rates'!F33)</f>
        <v>0</v>
      </c>
      <c r="G33" s="112">
        <f>G32*(1+'Annual Escalation Rates'!G33)</f>
        <v>876804.06301093614</v>
      </c>
      <c r="H33" s="112">
        <f>H32*(1+'Annual Escalation Rates'!H33)</f>
        <v>361240.53115763015</v>
      </c>
      <c r="I33" s="112">
        <f>I32*(1+'Annual Escalation Rates'!I33)</f>
        <v>0</v>
      </c>
      <c r="K33" s="111">
        <v>29</v>
      </c>
      <c r="L33" s="110">
        <f ca="1">SUM(B33:I33)+MAX((INDIRECT("'Sch3-Perf Period Cash Flow'!ab"&amp;6&amp;"")/IF('Summary Schedule'!$C$38="",1,'Summary Schedule'!$C$38)),0)</f>
        <v>2672194.7074022484</v>
      </c>
      <c r="M33" s="110">
        <f ca="1">ROUND(L33*IF('Summary Schedule'!$C$38="",1,'Summary Schedule'!$C$38),0)</f>
        <v>2458419</v>
      </c>
      <c r="N33" s="125">
        <f ca="1">'Sch3-Perf Period Cash Flow'!AF$23</f>
        <v>0</v>
      </c>
    </row>
    <row r="34" spans="1:14" ht="17" thickBot="1">
      <c r="A34" s="102">
        <v>30</v>
      </c>
      <c r="B34" s="112">
        <f>B33*(1+'Annual Escalation Rates'!B34)</f>
        <v>312604.63522188697</v>
      </c>
      <c r="C34" s="112">
        <f>C33*(1+'Annual Escalation Rates'!C34)</f>
        <v>0</v>
      </c>
      <c r="D34" s="112">
        <f>D33*(1+'Annual Escalation Rates'!D34)</f>
        <v>46839.925724012319</v>
      </c>
      <c r="E34" s="112">
        <f>E33*(1+'Annual Escalation Rates'!E34)</f>
        <v>1074705.5522877828</v>
      </c>
      <c r="F34" s="112">
        <f>F33*(1+'Annual Escalation Rates'!F34)</f>
        <v>0</v>
      </c>
      <c r="G34" s="112">
        <f>G33*(1+'Annual Escalation Rates'!G34)</f>
        <v>876804.06301093614</v>
      </c>
      <c r="H34" s="112">
        <f>H33*(1+'Annual Escalation Rates'!H34)</f>
        <v>361240.53115763015</v>
      </c>
      <c r="I34" s="112">
        <f>I33*(1+'Annual Escalation Rates'!I34)</f>
        <v>0</v>
      </c>
      <c r="K34" s="111">
        <v>30</v>
      </c>
      <c r="L34" s="110">
        <f ca="1">SUM(B34:I34)+MAX((INDIRECT("'Sch3-Perf Period Cash Flow'!ab"&amp;6&amp;"")/IF('Summary Schedule'!$C$38="",1,'Summary Schedule'!$C$38)),0)</f>
        <v>2672194.7074022484</v>
      </c>
      <c r="M34" s="110">
        <f ca="1">ROUND(L34*IF('Summary Schedule'!$C$38="",1,'Summary Schedule'!$C$38),0)</f>
        <v>2458419</v>
      </c>
      <c r="N34" s="125">
        <f ca="1">'Sch3-Perf Period Cash Flow'!AG$23</f>
        <v>0</v>
      </c>
    </row>
    <row r="35" spans="1:14" ht="17" thickBot="1">
      <c r="A35" s="102">
        <v>31</v>
      </c>
      <c r="B35" s="112">
        <f>B34*(1+'Annual Escalation Rates'!B35)</f>
        <v>312604.63522188697</v>
      </c>
      <c r="C35" s="112">
        <f>C34*(1+'Annual Escalation Rates'!C35)</f>
        <v>0</v>
      </c>
      <c r="D35" s="112">
        <f>D34*(1+'Annual Escalation Rates'!D35)</f>
        <v>46839.925724012319</v>
      </c>
      <c r="E35" s="112">
        <f>E34*(1+'Annual Escalation Rates'!E35)</f>
        <v>1074705.5522877828</v>
      </c>
      <c r="F35" s="112">
        <f>F34*(1+'Annual Escalation Rates'!F35)</f>
        <v>0</v>
      </c>
      <c r="G35" s="112">
        <f>G34*(1+'Annual Escalation Rates'!G35)</f>
        <v>876804.06301093614</v>
      </c>
      <c r="H35" s="112">
        <f>H34*(1+'Annual Escalation Rates'!H35)</f>
        <v>361240.53115763015</v>
      </c>
      <c r="I35" s="112">
        <f>I34*(1+'Annual Escalation Rates'!I35)</f>
        <v>0</v>
      </c>
      <c r="K35" s="111">
        <v>31</v>
      </c>
      <c r="L35" s="110">
        <f ca="1">SUM(B35:I35)+MAX((INDIRECT("'Sch3-Perf Period Cash Flow'!ab"&amp;6&amp;"")/IF('Summary Schedule'!$C$38="",1,'Summary Schedule'!$C$38)),0)</f>
        <v>2672194.7074022484</v>
      </c>
      <c r="M35" s="110">
        <f ca="1">ROUND(L35*IF('Summary Schedule'!$C$38="",1,'Summary Schedule'!$C$38),0)</f>
        <v>2458419</v>
      </c>
      <c r="N35" s="125">
        <f ca="1">'Sch3-Perf Period Cash Flow'!AH$23</f>
        <v>0</v>
      </c>
    </row>
    <row r="36" spans="1:14" ht="17" thickBot="1">
      <c r="A36" s="102">
        <v>32</v>
      </c>
      <c r="B36" s="112">
        <f>B35*(1+'Annual Escalation Rates'!B36)</f>
        <v>312604.63522188697</v>
      </c>
      <c r="C36" s="112">
        <f>C35*(1+'Annual Escalation Rates'!C36)</f>
        <v>0</v>
      </c>
      <c r="D36" s="112">
        <f>D35*(1+'Annual Escalation Rates'!D36)</f>
        <v>46839.925724012319</v>
      </c>
      <c r="E36" s="112">
        <f>E35*(1+'Annual Escalation Rates'!E36)</f>
        <v>1074705.5522877828</v>
      </c>
      <c r="F36" s="112">
        <f>F35*(1+'Annual Escalation Rates'!F36)</f>
        <v>0</v>
      </c>
      <c r="G36" s="112">
        <f>G35*(1+'Annual Escalation Rates'!G36)</f>
        <v>876804.06301093614</v>
      </c>
      <c r="H36" s="112">
        <f>H35*(1+'Annual Escalation Rates'!H36)</f>
        <v>361240.53115763015</v>
      </c>
      <c r="I36" s="112">
        <f>I35*(1+'Annual Escalation Rates'!I36)</f>
        <v>0</v>
      </c>
      <c r="K36" s="111">
        <v>32</v>
      </c>
      <c r="L36" s="110">
        <f ca="1">SUM(B36:I36)+MAX((INDIRECT("'Sch3-Perf Period Cash Flow'!ab"&amp;6&amp;"")/IF('Summary Schedule'!$C$38="",1,'Summary Schedule'!$C$38)),0)</f>
        <v>2672194.7074022484</v>
      </c>
      <c r="M36" s="110">
        <f ca="1">ROUND(L36*IF('Summary Schedule'!$C$38="",1,'Summary Schedule'!$C$38),0)</f>
        <v>2458419</v>
      </c>
      <c r="N36" s="125">
        <f ca="1">'Sch3-Perf Period Cash Flow'!AI$23</f>
        <v>0</v>
      </c>
    </row>
    <row r="37" spans="1:14" ht="17" thickBot="1">
      <c r="A37" s="102">
        <v>33</v>
      </c>
      <c r="B37" s="112">
        <f>B36*(1+'Annual Escalation Rates'!B37)</f>
        <v>312604.63522188697</v>
      </c>
      <c r="C37" s="112">
        <f>C36*(1+'Annual Escalation Rates'!C37)</f>
        <v>0</v>
      </c>
      <c r="D37" s="112">
        <f>D36*(1+'Annual Escalation Rates'!D37)</f>
        <v>46839.925724012319</v>
      </c>
      <c r="E37" s="112">
        <f>E36*(1+'Annual Escalation Rates'!E37)</f>
        <v>1074705.5522877828</v>
      </c>
      <c r="F37" s="112">
        <f>F36*(1+'Annual Escalation Rates'!F37)</f>
        <v>0</v>
      </c>
      <c r="G37" s="112">
        <f>G36*(1+'Annual Escalation Rates'!G37)</f>
        <v>876804.06301093614</v>
      </c>
      <c r="H37" s="112">
        <f>H36*(1+'Annual Escalation Rates'!H37)</f>
        <v>361240.53115763015</v>
      </c>
      <c r="I37" s="112">
        <f>I36*(1+'Annual Escalation Rates'!I37)</f>
        <v>0</v>
      </c>
      <c r="K37" s="111">
        <v>33</v>
      </c>
      <c r="L37" s="110">
        <f ca="1">SUM(B37:I37)+MAX((INDIRECT("'Sch3-Perf Period Cash Flow'!ab"&amp;6&amp;"")/IF('Summary Schedule'!$C$38="",1,'Summary Schedule'!$C$38)),0)</f>
        <v>2672194.7074022484</v>
      </c>
      <c r="M37" s="110">
        <f ca="1">ROUND(L37*IF('Summary Schedule'!$C$38="",1,'Summary Schedule'!$C$38),0)</f>
        <v>2458419</v>
      </c>
      <c r="N37" s="125">
        <f ca="1">'Sch3-Perf Period Cash Flow'!AJ$23</f>
        <v>0</v>
      </c>
    </row>
    <row r="38" spans="1:14" ht="17" thickBot="1">
      <c r="A38" s="102">
        <v>34</v>
      </c>
      <c r="B38" s="112">
        <f>B37*(1+'Annual Escalation Rates'!B38)</f>
        <v>312604.63522188697</v>
      </c>
      <c r="C38" s="112">
        <f>C37*(1+'Annual Escalation Rates'!C38)</f>
        <v>0</v>
      </c>
      <c r="D38" s="112">
        <f>D37*(1+'Annual Escalation Rates'!D38)</f>
        <v>46839.925724012319</v>
      </c>
      <c r="E38" s="112">
        <f>E37*(1+'Annual Escalation Rates'!E38)</f>
        <v>1074705.5522877828</v>
      </c>
      <c r="F38" s="112">
        <f>F37*(1+'Annual Escalation Rates'!F38)</f>
        <v>0</v>
      </c>
      <c r="G38" s="112">
        <f>G37*(1+'Annual Escalation Rates'!G38)</f>
        <v>876804.06301093614</v>
      </c>
      <c r="H38" s="112">
        <f>H37*(1+'Annual Escalation Rates'!H38)</f>
        <v>361240.53115763015</v>
      </c>
      <c r="I38" s="112">
        <f>I37*(1+'Annual Escalation Rates'!I38)</f>
        <v>0</v>
      </c>
      <c r="K38" s="111">
        <v>34</v>
      </c>
      <c r="L38" s="110">
        <f ca="1">SUM(B38:I38)+MAX((INDIRECT("'Sch3-Perf Period Cash Flow'!ab"&amp;6&amp;"")/IF('Summary Schedule'!$C$38="",1,'Summary Schedule'!$C$38)),0)</f>
        <v>2672194.7074022484</v>
      </c>
      <c r="M38" s="110">
        <f ca="1">ROUND(L38*IF('Summary Schedule'!$C$38="",1,'Summary Schedule'!$C$38),0)</f>
        <v>2458419</v>
      </c>
      <c r="N38" s="125">
        <f ca="1">'Sch3-Perf Period Cash Flow'!AK$23</f>
        <v>0</v>
      </c>
    </row>
    <row r="39" spans="1:14" ht="17" thickBot="1">
      <c r="A39" s="102">
        <v>35</v>
      </c>
      <c r="B39" s="112">
        <f>B38*(1+'Annual Escalation Rates'!B39)</f>
        <v>312604.63522188697</v>
      </c>
      <c r="C39" s="112">
        <f>C38*(1+'Annual Escalation Rates'!C39)</f>
        <v>0</v>
      </c>
      <c r="D39" s="112">
        <f>D38*(1+'Annual Escalation Rates'!D39)</f>
        <v>46839.925724012319</v>
      </c>
      <c r="E39" s="112">
        <f>E38*(1+'Annual Escalation Rates'!E39)</f>
        <v>1074705.5522877828</v>
      </c>
      <c r="F39" s="112">
        <f>F38*(1+'Annual Escalation Rates'!F39)</f>
        <v>0</v>
      </c>
      <c r="G39" s="112">
        <f>G38*(1+'Annual Escalation Rates'!G39)</f>
        <v>876804.06301093614</v>
      </c>
      <c r="H39" s="112">
        <f>H38*(1+'Annual Escalation Rates'!H39)</f>
        <v>361240.53115763015</v>
      </c>
      <c r="I39" s="112">
        <f>I38*(1+'Annual Escalation Rates'!I39)</f>
        <v>0</v>
      </c>
      <c r="K39" s="111">
        <v>35</v>
      </c>
      <c r="L39" s="110">
        <f ca="1">SUM(B39:I39)+MAX((INDIRECT("'Sch3-Perf Period Cash Flow'!ab"&amp;6&amp;"")/IF('Summary Schedule'!$C$38="",1,'Summary Schedule'!$C$38)),0)</f>
        <v>2672194.7074022484</v>
      </c>
      <c r="M39" s="110">
        <f ca="1">ROUND(L39*IF('Summary Schedule'!$C$38="",1,'Summary Schedule'!$C$38),0)</f>
        <v>2458419</v>
      </c>
      <c r="N39" s="125">
        <f ca="1">'Sch3-Perf Period Cash Flow'!AL$23</f>
        <v>0</v>
      </c>
    </row>
    <row r="40" spans="1:14" ht="17" thickBot="1">
      <c r="A40" s="102">
        <v>36</v>
      </c>
      <c r="B40" s="112">
        <f>B39*(1+'Annual Escalation Rates'!B40)</f>
        <v>312604.63522188697</v>
      </c>
      <c r="C40" s="112">
        <f>C39*(1+'Annual Escalation Rates'!C40)</f>
        <v>0</v>
      </c>
      <c r="D40" s="112">
        <f>D39*(1+'Annual Escalation Rates'!D40)</f>
        <v>46839.925724012319</v>
      </c>
      <c r="E40" s="112">
        <f>E39*(1+'Annual Escalation Rates'!E40)</f>
        <v>1074705.5522877828</v>
      </c>
      <c r="F40" s="112">
        <f>F39*(1+'Annual Escalation Rates'!F40)</f>
        <v>0</v>
      </c>
      <c r="G40" s="112">
        <f>G39*(1+'Annual Escalation Rates'!G40)</f>
        <v>876804.06301093614</v>
      </c>
      <c r="H40" s="112">
        <f>H39*(1+'Annual Escalation Rates'!H40)</f>
        <v>361240.53115763015</v>
      </c>
      <c r="I40" s="112">
        <f>I39*(1+'Annual Escalation Rates'!I40)</f>
        <v>0</v>
      </c>
      <c r="K40" s="111">
        <v>36</v>
      </c>
      <c r="L40" s="110">
        <f ca="1">SUM(B40:I40)+MAX((INDIRECT("'Sch3-Perf Period Cash Flow'!ab"&amp;6&amp;"")/IF('Summary Schedule'!$C$38="",1,'Summary Schedule'!$C$38)),0)</f>
        <v>2672194.7074022484</v>
      </c>
      <c r="M40" s="110">
        <f ca="1">ROUND(L40*IF('Summary Schedule'!$C$38="",1,'Summary Schedule'!$C$38),0)</f>
        <v>2458419</v>
      </c>
      <c r="N40" s="125">
        <f ca="1">'Sch3-Perf Period Cash Flow'!AM$23</f>
        <v>0</v>
      </c>
    </row>
    <row r="41" spans="1:14" ht="17" thickBot="1">
      <c r="A41" s="102">
        <v>37</v>
      </c>
      <c r="B41" s="112">
        <f>B40*(1+'Annual Escalation Rates'!B41)</f>
        <v>312604.63522188697</v>
      </c>
      <c r="C41" s="112">
        <f>C40*(1+'Annual Escalation Rates'!C41)</f>
        <v>0</v>
      </c>
      <c r="D41" s="112">
        <f>D40*(1+'Annual Escalation Rates'!D41)</f>
        <v>46839.925724012319</v>
      </c>
      <c r="E41" s="112">
        <f>E40*(1+'Annual Escalation Rates'!E41)</f>
        <v>1074705.5522877828</v>
      </c>
      <c r="F41" s="112">
        <f>F40*(1+'Annual Escalation Rates'!F41)</f>
        <v>0</v>
      </c>
      <c r="G41" s="112">
        <f>G40*(1+'Annual Escalation Rates'!G41)</f>
        <v>876804.06301093614</v>
      </c>
      <c r="H41" s="112">
        <f>H40*(1+'Annual Escalation Rates'!H41)</f>
        <v>361240.53115763015</v>
      </c>
      <c r="I41" s="112">
        <f>I40*(1+'Annual Escalation Rates'!I41)</f>
        <v>0</v>
      </c>
      <c r="K41" s="111">
        <v>37</v>
      </c>
      <c r="L41" s="110">
        <f ca="1">SUM(B41:I41)+MAX((INDIRECT("'Sch3-Perf Period Cash Flow'!ab"&amp;6&amp;"")/IF('Summary Schedule'!$C$38="",1,'Summary Schedule'!$C$38)),0)</f>
        <v>2672194.7074022484</v>
      </c>
      <c r="M41" s="110">
        <f ca="1">ROUND(L41*IF('Summary Schedule'!$C$38="",1,'Summary Schedule'!$C$38),0)</f>
        <v>2458419</v>
      </c>
      <c r="N41" s="125">
        <f ca="1">'Sch3-Perf Period Cash Flow'!AN$23</f>
        <v>0</v>
      </c>
    </row>
    <row r="42" spans="1:14" ht="17" thickBot="1">
      <c r="A42" s="102">
        <v>38</v>
      </c>
      <c r="B42" s="112">
        <f>B41*(1+'Annual Escalation Rates'!B42)</f>
        <v>312604.63522188697</v>
      </c>
      <c r="C42" s="112">
        <f>C41*(1+'Annual Escalation Rates'!C42)</f>
        <v>0</v>
      </c>
      <c r="D42" s="112">
        <f>D41*(1+'Annual Escalation Rates'!D42)</f>
        <v>46839.925724012319</v>
      </c>
      <c r="E42" s="112">
        <f>E41*(1+'Annual Escalation Rates'!E42)</f>
        <v>1074705.5522877828</v>
      </c>
      <c r="F42" s="112">
        <f>F41*(1+'Annual Escalation Rates'!F42)</f>
        <v>0</v>
      </c>
      <c r="G42" s="112">
        <f>G41*(1+'Annual Escalation Rates'!G42)</f>
        <v>876804.06301093614</v>
      </c>
      <c r="H42" s="112">
        <f>H41*(1+'Annual Escalation Rates'!H42)</f>
        <v>361240.53115763015</v>
      </c>
      <c r="I42" s="112">
        <f>I41*(1+'Annual Escalation Rates'!I42)</f>
        <v>0</v>
      </c>
      <c r="K42" s="111">
        <v>38</v>
      </c>
      <c r="L42" s="110">
        <f ca="1">SUM(B42:I42)+MAX((INDIRECT("'Sch3-Perf Period Cash Flow'!ab"&amp;6&amp;"")/IF('Summary Schedule'!$C$38="",1,'Summary Schedule'!$C$38)),0)</f>
        <v>2672194.7074022484</v>
      </c>
      <c r="M42" s="110">
        <f ca="1">ROUND(L42*IF('Summary Schedule'!$C$38="",1,'Summary Schedule'!$C$38),0)</f>
        <v>2458419</v>
      </c>
      <c r="N42" s="125">
        <f ca="1">'Sch3-Perf Period Cash Flow'!AO$23</f>
        <v>0</v>
      </c>
    </row>
    <row r="43" spans="1:14" ht="17" thickBot="1">
      <c r="A43" s="102">
        <v>39</v>
      </c>
      <c r="B43" s="112">
        <f>B42*(1+'Annual Escalation Rates'!B43)</f>
        <v>312604.63522188697</v>
      </c>
      <c r="C43" s="112">
        <f>C42*(1+'Annual Escalation Rates'!C43)</f>
        <v>0</v>
      </c>
      <c r="D43" s="112">
        <f>D42*(1+'Annual Escalation Rates'!D43)</f>
        <v>46839.925724012319</v>
      </c>
      <c r="E43" s="112">
        <f>E42*(1+'Annual Escalation Rates'!E43)</f>
        <v>1074705.5522877828</v>
      </c>
      <c r="F43" s="112">
        <f>F42*(1+'Annual Escalation Rates'!F43)</f>
        <v>0</v>
      </c>
      <c r="G43" s="112">
        <f>G42*(1+'Annual Escalation Rates'!G43)</f>
        <v>876804.06301093614</v>
      </c>
      <c r="H43" s="112">
        <f>H42*(1+'Annual Escalation Rates'!H43)</f>
        <v>361240.53115763015</v>
      </c>
      <c r="I43" s="112">
        <f>I42*(1+'Annual Escalation Rates'!I43)</f>
        <v>0</v>
      </c>
      <c r="K43" s="111">
        <v>39</v>
      </c>
      <c r="L43" s="110">
        <f ca="1">SUM(B43:I43)+MAX((INDIRECT("'Sch3-Perf Period Cash Flow'!ab"&amp;6&amp;"")/IF('Summary Schedule'!$C$38="",1,'Summary Schedule'!$C$38)),0)</f>
        <v>2672194.7074022484</v>
      </c>
      <c r="M43" s="110">
        <f ca="1">ROUND(L43*IF('Summary Schedule'!$C$38="",1,'Summary Schedule'!$C$38),0)</f>
        <v>2458419</v>
      </c>
      <c r="N43" s="125">
        <f ca="1">'Sch3-Perf Period Cash Flow'!AP$23</f>
        <v>0</v>
      </c>
    </row>
    <row r="44" spans="1:14" ht="17" thickBot="1">
      <c r="A44" s="102">
        <v>40</v>
      </c>
      <c r="B44" s="112">
        <f>B43*(1+'Annual Escalation Rates'!B44)</f>
        <v>312604.63522188697</v>
      </c>
      <c r="C44" s="112">
        <f>C43*(1+'Annual Escalation Rates'!C44)</f>
        <v>0</v>
      </c>
      <c r="D44" s="112">
        <f>D43*(1+'Annual Escalation Rates'!D44)</f>
        <v>46839.925724012319</v>
      </c>
      <c r="E44" s="112">
        <f>E43*(1+'Annual Escalation Rates'!E44)</f>
        <v>1074705.5522877828</v>
      </c>
      <c r="F44" s="112">
        <f>F43*(1+'Annual Escalation Rates'!F44)</f>
        <v>0</v>
      </c>
      <c r="G44" s="112">
        <f>G43*(1+'Annual Escalation Rates'!G44)</f>
        <v>876804.06301093614</v>
      </c>
      <c r="H44" s="112">
        <f>H43*(1+'Annual Escalation Rates'!H44)</f>
        <v>361240.53115763015</v>
      </c>
      <c r="I44" s="112">
        <f>I43*(1+'Annual Escalation Rates'!I44)</f>
        <v>0</v>
      </c>
      <c r="K44" s="111">
        <v>40</v>
      </c>
      <c r="L44" s="110">
        <f ca="1">SUM(B44:I44)+MAX((INDIRECT("'Sch3-Perf Period Cash Flow'!ab"&amp;6&amp;"")/IF('Summary Schedule'!$C$38="",1,'Summary Schedule'!$C$38)),0)</f>
        <v>2672194.7074022484</v>
      </c>
      <c r="M44" s="110">
        <f ca="1">ROUND(L44*IF('Summary Schedule'!$C$38="",1,'Summary Schedule'!$C$38),0)</f>
        <v>2458419</v>
      </c>
      <c r="N44" s="125">
        <f ca="1">'Sch3-Perf Period Cash Flow'!AQ$23</f>
        <v>0</v>
      </c>
    </row>
  </sheetData>
  <mergeCells count="5">
    <mergeCell ref="N3:N4"/>
    <mergeCell ref="A1:I2"/>
    <mergeCell ref="K2:K4"/>
    <mergeCell ref="L3:L4"/>
    <mergeCell ref="M3:M4"/>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22"/>
  <sheetViews>
    <sheetView workbookViewId="0">
      <selection activeCell="C8" sqref="C8"/>
    </sheetView>
  </sheetViews>
  <sheetFormatPr baseColWidth="10" defaultColWidth="11" defaultRowHeight="16"/>
  <cols>
    <col min="1" max="1" width="79.33203125" style="173" customWidth="1"/>
    <col min="2" max="3" width="33.33203125" bestFit="1" customWidth="1"/>
  </cols>
  <sheetData>
    <row r="1" spans="1:5">
      <c r="B1" s="191" t="s">
        <v>207</v>
      </c>
      <c r="D1" s="191" t="s">
        <v>328</v>
      </c>
      <c r="E1" s="191"/>
    </row>
    <row r="2" spans="1:5" ht="16" customHeight="1">
      <c r="A2" s="175" t="s">
        <v>147</v>
      </c>
      <c r="B2" t="s">
        <v>174</v>
      </c>
      <c r="C2" t="s">
        <v>182</v>
      </c>
      <c r="D2" t="s">
        <v>332</v>
      </c>
    </row>
    <row r="3" spans="1:5" ht="16" customHeight="1">
      <c r="A3" s="280" t="s">
        <v>290</v>
      </c>
      <c r="B3" t="s">
        <v>175</v>
      </c>
      <c r="C3" t="s">
        <v>183</v>
      </c>
      <c r="D3" t="s">
        <v>333</v>
      </c>
    </row>
    <row r="4" spans="1:5">
      <c r="A4" s="280" t="s">
        <v>172</v>
      </c>
      <c r="B4" t="s">
        <v>176</v>
      </c>
      <c r="C4" t="s">
        <v>184</v>
      </c>
      <c r="D4" t="s">
        <v>334</v>
      </c>
    </row>
    <row r="5" spans="1:5">
      <c r="A5" s="280" t="s">
        <v>159</v>
      </c>
      <c r="B5" t="s">
        <v>177</v>
      </c>
      <c r="C5" t="s">
        <v>185</v>
      </c>
      <c r="D5" t="s">
        <v>335</v>
      </c>
    </row>
    <row r="6" spans="1:5">
      <c r="A6" s="280" t="s">
        <v>597</v>
      </c>
      <c r="B6" t="s">
        <v>178</v>
      </c>
      <c r="C6" t="s">
        <v>186</v>
      </c>
      <c r="D6" s="297" t="s">
        <v>329</v>
      </c>
    </row>
    <row r="7" spans="1:5">
      <c r="A7" s="280" t="s">
        <v>162</v>
      </c>
      <c r="B7" t="s">
        <v>179</v>
      </c>
      <c r="C7" t="s">
        <v>187</v>
      </c>
      <c r="D7" s="297" t="s">
        <v>47</v>
      </c>
    </row>
    <row r="8" spans="1:5">
      <c r="A8" s="280" t="s">
        <v>163</v>
      </c>
      <c r="B8" t="s">
        <v>180</v>
      </c>
      <c r="C8" t="s">
        <v>188</v>
      </c>
      <c r="D8" s="297" t="s">
        <v>330</v>
      </c>
    </row>
    <row r="9" spans="1:5" ht="15" customHeight="1">
      <c r="A9" s="280" t="s">
        <v>160</v>
      </c>
      <c r="B9" t="s">
        <v>181</v>
      </c>
      <c r="C9" t="s">
        <v>189</v>
      </c>
      <c r="D9" s="297" t="s">
        <v>331</v>
      </c>
    </row>
    <row r="10" spans="1:5">
      <c r="A10" s="280" t="s">
        <v>291</v>
      </c>
      <c r="B10" t="s">
        <v>190</v>
      </c>
      <c r="C10" t="s">
        <v>191</v>
      </c>
      <c r="D10" s="297" t="s">
        <v>336</v>
      </c>
    </row>
    <row r="11" spans="1:5" ht="15" customHeight="1">
      <c r="A11" s="280" t="s">
        <v>166</v>
      </c>
      <c r="B11" t="s">
        <v>141</v>
      </c>
      <c r="C11" t="s">
        <v>142</v>
      </c>
    </row>
    <row r="12" spans="1:5">
      <c r="A12" s="280" t="s">
        <v>164</v>
      </c>
    </row>
    <row r="13" spans="1:5">
      <c r="A13" s="280" t="s">
        <v>170</v>
      </c>
    </row>
    <row r="14" spans="1:5">
      <c r="A14" s="280" t="s">
        <v>292</v>
      </c>
    </row>
    <row r="15" spans="1:5">
      <c r="A15" s="280" t="s">
        <v>171</v>
      </c>
    </row>
    <row r="16" spans="1:5">
      <c r="A16" s="280" t="s">
        <v>168</v>
      </c>
    </row>
    <row r="17" spans="1:1">
      <c r="A17" s="280" t="s">
        <v>293</v>
      </c>
    </row>
    <row r="18" spans="1:1">
      <c r="A18" s="280" t="s">
        <v>325</v>
      </c>
    </row>
    <row r="19" spans="1:1">
      <c r="A19" s="280" t="s">
        <v>161</v>
      </c>
    </row>
    <row r="20" spans="1:1">
      <c r="A20" s="280" t="s">
        <v>165</v>
      </c>
    </row>
    <row r="21" spans="1:1">
      <c r="A21" s="280" t="s">
        <v>167</v>
      </c>
    </row>
    <row r="22" spans="1:1">
      <c r="A22" s="280" t="s">
        <v>169</v>
      </c>
    </row>
  </sheetData>
  <sheetProtection algorithmName="SHA-512" hashValue="EVd3rUnXm7cfkInGYOeSwfgjCn/f22nqGsnxY70NqPgWysA6vbazAf7tPDiBtlPcuJSdpIDOGpzGEAfPZYm/SA==" saltValue="dMFAoHSLyQ9EGMIZKxuaRA==" spinCount="100000" sheet="1" objects="1" scenarios="1"/>
  <sortState xmlns:xlrd2="http://schemas.microsoft.com/office/spreadsheetml/2017/richdata2" ref="A3:A19">
    <sortCondition ref="A3"/>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V498"/>
  <sheetViews>
    <sheetView showGridLines="0" zoomScale="78" zoomScaleNormal="78" zoomScalePageLayoutView="125" workbookViewId="0">
      <pane ySplit="16" topLeftCell="A17" activePane="bottomLeft" state="frozenSplit"/>
      <selection activeCell="L42" sqref="L42"/>
      <selection pane="bottomLeft" activeCell="L42" sqref="L42"/>
    </sheetView>
  </sheetViews>
  <sheetFormatPr baseColWidth="10" defaultColWidth="8.83203125" defaultRowHeight="13"/>
  <cols>
    <col min="1" max="1" width="6.33203125" style="341" customWidth="1"/>
    <col min="2" max="2" width="12.5" style="341" customWidth="1"/>
    <col min="3" max="3" width="16.5" style="341" customWidth="1"/>
    <col min="4" max="4" width="15.5" style="341" customWidth="1"/>
    <col min="5" max="5" width="17" style="341" customWidth="1"/>
    <col min="6" max="6" width="16" style="341" customWidth="1"/>
    <col min="7" max="7" width="14.5" style="341" customWidth="1"/>
    <col min="8" max="8" width="21" style="341" customWidth="1"/>
    <col min="9" max="9" width="15" style="306" customWidth="1"/>
    <col min="10" max="10" width="8.33203125" style="307" customWidth="1"/>
    <col min="11" max="12" width="17.33203125" style="307" customWidth="1"/>
    <col min="13" max="13" width="14.33203125" style="307" customWidth="1"/>
    <col min="14" max="14" width="15" style="307" customWidth="1"/>
    <col min="15" max="15" width="14.5" style="307" customWidth="1"/>
    <col min="16" max="16" width="8.83203125" style="307"/>
    <col min="17" max="17" width="10.5" style="307" bestFit="1" customWidth="1"/>
    <col min="18" max="253" width="8.83203125" style="307"/>
    <col min="254" max="254" width="4.5" style="307" customWidth="1"/>
    <col min="255" max="255" width="12.5" style="307" customWidth="1"/>
    <col min="256" max="256" width="11.83203125" style="307" customWidth="1"/>
    <col min="257" max="257" width="12.83203125" style="307" customWidth="1"/>
    <col min="258" max="258" width="11" style="307" customWidth="1"/>
    <col min="259" max="259" width="11.5" style="307" customWidth="1"/>
    <col min="260" max="261" width="11.33203125" style="307" customWidth="1"/>
    <col min="262" max="262" width="13.5" style="307" customWidth="1"/>
    <col min="263" max="509" width="8.83203125" style="307"/>
    <col min="510" max="510" width="4.5" style="307" customWidth="1"/>
    <col min="511" max="511" width="12.5" style="307" customWidth="1"/>
    <col min="512" max="512" width="11.83203125" style="307" customWidth="1"/>
    <col min="513" max="513" width="12.83203125" style="307" customWidth="1"/>
    <col min="514" max="514" width="11" style="307" customWidth="1"/>
    <col min="515" max="515" width="11.5" style="307" customWidth="1"/>
    <col min="516" max="517" width="11.33203125" style="307" customWidth="1"/>
    <col min="518" max="518" width="13.5" style="307" customWidth="1"/>
    <col min="519" max="765" width="8.83203125" style="307"/>
    <col min="766" max="766" width="4.5" style="307" customWidth="1"/>
    <col min="767" max="767" width="12.5" style="307" customWidth="1"/>
    <col min="768" max="768" width="11.83203125" style="307" customWidth="1"/>
    <col min="769" max="769" width="12.83203125" style="307" customWidth="1"/>
    <col min="770" max="770" width="11" style="307" customWidth="1"/>
    <col min="771" max="771" width="11.5" style="307" customWidth="1"/>
    <col min="772" max="773" width="11.33203125" style="307" customWidth="1"/>
    <col min="774" max="774" width="13.5" style="307" customWidth="1"/>
    <col min="775" max="1021" width="8.83203125" style="307"/>
    <col min="1022" max="1022" width="4.5" style="307" customWidth="1"/>
    <col min="1023" max="1023" width="12.5" style="307" customWidth="1"/>
    <col min="1024" max="1024" width="11.83203125" style="307" customWidth="1"/>
    <col min="1025" max="1025" width="12.83203125" style="307" customWidth="1"/>
    <col min="1026" max="1026" width="11" style="307" customWidth="1"/>
    <col min="1027" max="1027" width="11.5" style="307" customWidth="1"/>
    <col min="1028" max="1029" width="11.33203125" style="307" customWidth="1"/>
    <col min="1030" max="1030" width="13.5" style="307" customWidth="1"/>
    <col min="1031" max="1277" width="8.83203125" style="307"/>
    <col min="1278" max="1278" width="4.5" style="307" customWidth="1"/>
    <col min="1279" max="1279" width="12.5" style="307" customWidth="1"/>
    <col min="1280" max="1280" width="11.83203125" style="307" customWidth="1"/>
    <col min="1281" max="1281" width="12.83203125" style="307" customWidth="1"/>
    <col min="1282" max="1282" width="11" style="307" customWidth="1"/>
    <col min="1283" max="1283" width="11.5" style="307" customWidth="1"/>
    <col min="1284" max="1285" width="11.33203125" style="307" customWidth="1"/>
    <col min="1286" max="1286" width="13.5" style="307" customWidth="1"/>
    <col min="1287" max="1533" width="8.83203125" style="307"/>
    <col min="1534" max="1534" width="4.5" style="307" customWidth="1"/>
    <col min="1535" max="1535" width="12.5" style="307" customWidth="1"/>
    <col min="1536" max="1536" width="11.83203125" style="307" customWidth="1"/>
    <col min="1537" max="1537" width="12.83203125" style="307" customWidth="1"/>
    <col min="1538" max="1538" width="11" style="307" customWidth="1"/>
    <col min="1539" max="1539" width="11.5" style="307" customWidth="1"/>
    <col min="1540" max="1541" width="11.33203125" style="307" customWidth="1"/>
    <col min="1542" max="1542" width="13.5" style="307" customWidth="1"/>
    <col min="1543" max="1789" width="8.83203125" style="307"/>
    <col min="1790" max="1790" width="4.5" style="307" customWidth="1"/>
    <col min="1791" max="1791" width="12.5" style="307" customWidth="1"/>
    <col min="1792" max="1792" width="11.83203125" style="307" customWidth="1"/>
    <col min="1793" max="1793" width="12.83203125" style="307" customWidth="1"/>
    <col min="1794" max="1794" width="11" style="307" customWidth="1"/>
    <col min="1795" max="1795" width="11.5" style="307" customWidth="1"/>
    <col min="1796" max="1797" width="11.33203125" style="307" customWidth="1"/>
    <col min="1798" max="1798" width="13.5" style="307" customWidth="1"/>
    <col min="1799" max="2045" width="8.83203125" style="307"/>
    <col min="2046" max="2046" width="4.5" style="307" customWidth="1"/>
    <col min="2047" max="2047" width="12.5" style="307" customWidth="1"/>
    <col min="2048" max="2048" width="11.83203125" style="307" customWidth="1"/>
    <col min="2049" max="2049" width="12.83203125" style="307" customWidth="1"/>
    <col min="2050" max="2050" width="11" style="307" customWidth="1"/>
    <col min="2051" max="2051" width="11.5" style="307" customWidth="1"/>
    <col min="2052" max="2053" width="11.33203125" style="307" customWidth="1"/>
    <col min="2054" max="2054" width="13.5" style="307" customWidth="1"/>
    <col min="2055" max="2301" width="8.83203125" style="307"/>
    <col min="2302" max="2302" width="4.5" style="307" customWidth="1"/>
    <col min="2303" max="2303" width="12.5" style="307" customWidth="1"/>
    <col min="2304" max="2304" width="11.83203125" style="307" customWidth="1"/>
    <col min="2305" max="2305" width="12.83203125" style="307" customWidth="1"/>
    <col min="2306" max="2306" width="11" style="307" customWidth="1"/>
    <col min="2307" max="2307" width="11.5" style="307" customWidth="1"/>
    <col min="2308" max="2309" width="11.33203125" style="307" customWidth="1"/>
    <col min="2310" max="2310" width="13.5" style="307" customWidth="1"/>
    <col min="2311" max="2557" width="8.83203125" style="307"/>
    <col min="2558" max="2558" width="4.5" style="307" customWidth="1"/>
    <col min="2559" max="2559" width="12.5" style="307" customWidth="1"/>
    <col min="2560" max="2560" width="11.83203125" style="307" customWidth="1"/>
    <col min="2561" max="2561" width="12.83203125" style="307" customWidth="1"/>
    <col min="2562" max="2562" width="11" style="307" customWidth="1"/>
    <col min="2563" max="2563" width="11.5" style="307" customWidth="1"/>
    <col min="2564" max="2565" width="11.33203125" style="307" customWidth="1"/>
    <col min="2566" max="2566" width="13.5" style="307" customWidth="1"/>
    <col min="2567" max="2813" width="8.83203125" style="307"/>
    <col min="2814" max="2814" width="4.5" style="307" customWidth="1"/>
    <col min="2815" max="2815" width="12.5" style="307" customWidth="1"/>
    <col min="2816" max="2816" width="11.83203125" style="307" customWidth="1"/>
    <col min="2817" max="2817" width="12.83203125" style="307" customWidth="1"/>
    <col min="2818" max="2818" width="11" style="307" customWidth="1"/>
    <col min="2819" max="2819" width="11.5" style="307" customWidth="1"/>
    <col min="2820" max="2821" width="11.33203125" style="307" customWidth="1"/>
    <col min="2822" max="2822" width="13.5" style="307" customWidth="1"/>
    <col min="2823" max="3069" width="8.83203125" style="307"/>
    <col min="3070" max="3070" width="4.5" style="307" customWidth="1"/>
    <col min="3071" max="3071" width="12.5" style="307" customWidth="1"/>
    <col min="3072" max="3072" width="11.83203125" style="307" customWidth="1"/>
    <col min="3073" max="3073" width="12.83203125" style="307" customWidth="1"/>
    <col min="3074" max="3074" width="11" style="307" customWidth="1"/>
    <col min="3075" max="3075" width="11.5" style="307" customWidth="1"/>
    <col min="3076" max="3077" width="11.33203125" style="307" customWidth="1"/>
    <col min="3078" max="3078" width="13.5" style="307" customWidth="1"/>
    <col min="3079" max="3325" width="8.83203125" style="307"/>
    <col min="3326" max="3326" width="4.5" style="307" customWidth="1"/>
    <col min="3327" max="3327" width="12.5" style="307" customWidth="1"/>
    <col min="3328" max="3328" width="11.83203125" style="307" customWidth="1"/>
    <col min="3329" max="3329" width="12.83203125" style="307" customWidth="1"/>
    <col min="3330" max="3330" width="11" style="307" customWidth="1"/>
    <col min="3331" max="3331" width="11.5" style="307" customWidth="1"/>
    <col min="3332" max="3333" width="11.33203125" style="307" customWidth="1"/>
    <col min="3334" max="3334" width="13.5" style="307" customWidth="1"/>
    <col min="3335" max="3581" width="8.83203125" style="307"/>
    <col min="3582" max="3582" width="4.5" style="307" customWidth="1"/>
    <col min="3583" max="3583" width="12.5" style="307" customWidth="1"/>
    <col min="3584" max="3584" width="11.83203125" style="307" customWidth="1"/>
    <col min="3585" max="3585" width="12.83203125" style="307" customWidth="1"/>
    <col min="3586" max="3586" width="11" style="307" customWidth="1"/>
    <col min="3587" max="3587" width="11.5" style="307" customWidth="1"/>
    <col min="3588" max="3589" width="11.33203125" style="307" customWidth="1"/>
    <col min="3590" max="3590" width="13.5" style="307" customWidth="1"/>
    <col min="3591" max="3837" width="8.83203125" style="307"/>
    <col min="3838" max="3838" width="4.5" style="307" customWidth="1"/>
    <col min="3839" max="3839" width="12.5" style="307" customWidth="1"/>
    <col min="3840" max="3840" width="11.83203125" style="307" customWidth="1"/>
    <col min="3841" max="3841" width="12.83203125" style="307" customWidth="1"/>
    <col min="3842" max="3842" width="11" style="307" customWidth="1"/>
    <col min="3843" max="3843" width="11.5" style="307" customWidth="1"/>
    <col min="3844" max="3845" width="11.33203125" style="307" customWidth="1"/>
    <col min="3846" max="3846" width="13.5" style="307" customWidth="1"/>
    <col min="3847" max="4093" width="8.83203125" style="307"/>
    <col min="4094" max="4094" width="4.5" style="307" customWidth="1"/>
    <col min="4095" max="4095" width="12.5" style="307" customWidth="1"/>
    <col min="4096" max="4096" width="11.83203125" style="307" customWidth="1"/>
    <col min="4097" max="4097" width="12.83203125" style="307" customWidth="1"/>
    <col min="4098" max="4098" width="11" style="307" customWidth="1"/>
    <col min="4099" max="4099" width="11.5" style="307" customWidth="1"/>
    <col min="4100" max="4101" width="11.33203125" style="307" customWidth="1"/>
    <col min="4102" max="4102" width="13.5" style="307" customWidth="1"/>
    <col min="4103" max="4349" width="8.83203125" style="307"/>
    <col min="4350" max="4350" width="4.5" style="307" customWidth="1"/>
    <col min="4351" max="4351" width="12.5" style="307" customWidth="1"/>
    <col min="4352" max="4352" width="11.83203125" style="307" customWidth="1"/>
    <col min="4353" max="4353" width="12.83203125" style="307" customWidth="1"/>
    <col min="4354" max="4354" width="11" style="307" customWidth="1"/>
    <col min="4355" max="4355" width="11.5" style="307" customWidth="1"/>
    <col min="4356" max="4357" width="11.33203125" style="307" customWidth="1"/>
    <col min="4358" max="4358" width="13.5" style="307" customWidth="1"/>
    <col min="4359" max="4605" width="8.83203125" style="307"/>
    <col min="4606" max="4606" width="4.5" style="307" customWidth="1"/>
    <col min="4607" max="4607" width="12.5" style="307" customWidth="1"/>
    <col min="4608" max="4608" width="11.83203125" style="307" customWidth="1"/>
    <col min="4609" max="4609" width="12.83203125" style="307" customWidth="1"/>
    <col min="4610" max="4610" width="11" style="307" customWidth="1"/>
    <col min="4611" max="4611" width="11.5" style="307" customWidth="1"/>
    <col min="4612" max="4613" width="11.33203125" style="307" customWidth="1"/>
    <col min="4614" max="4614" width="13.5" style="307" customWidth="1"/>
    <col min="4615" max="4861" width="8.83203125" style="307"/>
    <col min="4862" max="4862" width="4.5" style="307" customWidth="1"/>
    <col min="4863" max="4863" width="12.5" style="307" customWidth="1"/>
    <col min="4864" max="4864" width="11.83203125" style="307" customWidth="1"/>
    <col min="4865" max="4865" width="12.83203125" style="307" customWidth="1"/>
    <col min="4866" max="4866" width="11" style="307" customWidth="1"/>
    <col min="4867" max="4867" width="11.5" style="307" customWidth="1"/>
    <col min="4868" max="4869" width="11.33203125" style="307" customWidth="1"/>
    <col min="4870" max="4870" width="13.5" style="307" customWidth="1"/>
    <col min="4871" max="5117" width="8.83203125" style="307"/>
    <col min="5118" max="5118" width="4.5" style="307" customWidth="1"/>
    <col min="5119" max="5119" width="12.5" style="307" customWidth="1"/>
    <col min="5120" max="5120" width="11.83203125" style="307" customWidth="1"/>
    <col min="5121" max="5121" width="12.83203125" style="307" customWidth="1"/>
    <col min="5122" max="5122" width="11" style="307" customWidth="1"/>
    <col min="5123" max="5123" width="11.5" style="307" customWidth="1"/>
    <col min="5124" max="5125" width="11.33203125" style="307" customWidth="1"/>
    <col min="5126" max="5126" width="13.5" style="307" customWidth="1"/>
    <col min="5127" max="5373" width="8.83203125" style="307"/>
    <col min="5374" max="5374" width="4.5" style="307" customWidth="1"/>
    <col min="5375" max="5375" width="12.5" style="307" customWidth="1"/>
    <col min="5376" max="5376" width="11.83203125" style="307" customWidth="1"/>
    <col min="5377" max="5377" width="12.83203125" style="307" customWidth="1"/>
    <col min="5378" max="5378" width="11" style="307" customWidth="1"/>
    <col min="5379" max="5379" width="11.5" style="307" customWidth="1"/>
    <col min="5380" max="5381" width="11.33203125" style="307" customWidth="1"/>
    <col min="5382" max="5382" width="13.5" style="307" customWidth="1"/>
    <col min="5383" max="5629" width="8.83203125" style="307"/>
    <col min="5630" max="5630" width="4.5" style="307" customWidth="1"/>
    <col min="5631" max="5631" width="12.5" style="307" customWidth="1"/>
    <col min="5632" max="5632" width="11.83203125" style="307" customWidth="1"/>
    <col min="5633" max="5633" width="12.83203125" style="307" customWidth="1"/>
    <col min="5634" max="5634" width="11" style="307" customWidth="1"/>
    <col min="5635" max="5635" width="11.5" style="307" customWidth="1"/>
    <col min="5636" max="5637" width="11.33203125" style="307" customWidth="1"/>
    <col min="5638" max="5638" width="13.5" style="307" customWidth="1"/>
    <col min="5639" max="5885" width="8.83203125" style="307"/>
    <col min="5886" max="5886" width="4.5" style="307" customWidth="1"/>
    <col min="5887" max="5887" width="12.5" style="307" customWidth="1"/>
    <col min="5888" max="5888" width="11.83203125" style="307" customWidth="1"/>
    <col min="5889" max="5889" width="12.83203125" style="307" customWidth="1"/>
    <col min="5890" max="5890" width="11" style="307" customWidth="1"/>
    <col min="5891" max="5891" width="11.5" style="307" customWidth="1"/>
    <col min="5892" max="5893" width="11.33203125" style="307" customWidth="1"/>
    <col min="5894" max="5894" width="13.5" style="307" customWidth="1"/>
    <col min="5895" max="6141" width="8.83203125" style="307"/>
    <col min="6142" max="6142" width="4.5" style="307" customWidth="1"/>
    <col min="6143" max="6143" width="12.5" style="307" customWidth="1"/>
    <col min="6144" max="6144" width="11.83203125" style="307" customWidth="1"/>
    <col min="6145" max="6145" width="12.83203125" style="307" customWidth="1"/>
    <col min="6146" max="6146" width="11" style="307" customWidth="1"/>
    <col min="6147" max="6147" width="11.5" style="307" customWidth="1"/>
    <col min="6148" max="6149" width="11.33203125" style="307" customWidth="1"/>
    <col min="6150" max="6150" width="13.5" style="307" customWidth="1"/>
    <col min="6151" max="6397" width="8.83203125" style="307"/>
    <col min="6398" max="6398" width="4.5" style="307" customWidth="1"/>
    <col min="6399" max="6399" width="12.5" style="307" customWidth="1"/>
    <col min="6400" max="6400" width="11.83203125" style="307" customWidth="1"/>
    <col min="6401" max="6401" width="12.83203125" style="307" customWidth="1"/>
    <col min="6402" max="6402" width="11" style="307" customWidth="1"/>
    <col min="6403" max="6403" width="11.5" style="307" customWidth="1"/>
    <col min="6404" max="6405" width="11.33203125" style="307" customWidth="1"/>
    <col min="6406" max="6406" width="13.5" style="307" customWidth="1"/>
    <col min="6407" max="6653" width="8.83203125" style="307"/>
    <col min="6654" max="6654" width="4.5" style="307" customWidth="1"/>
    <col min="6655" max="6655" width="12.5" style="307" customWidth="1"/>
    <col min="6656" max="6656" width="11.83203125" style="307" customWidth="1"/>
    <col min="6657" max="6657" width="12.83203125" style="307" customWidth="1"/>
    <col min="6658" max="6658" width="11" style="307" customWidth="1"/>
    <col min="6659" max="6659" width="11.5" style="307" customWidth="1"/>
    <col min="6660" max="6661" width="11.33203125" style="307" customWidth="1"/>
    <col min="6662" max="6662" width="13.5" style="307" customWidth="1"/>
    <col min="6663" max="6909" width="8.83203125" style="307"/>
    <col min="6910" max="6910" width="4.5" style="307" customWidth="1"/>
    <col min="6911" max="6911" width="12.5" style="307" customWidth="1"/>
    <col min="6912" max="6912" width="11.83203125" style="307" customWidth="1"/>
    <col min="6913" max="6913" width="12.83203125" style="307" customWidth="1"/>
    <col min="6914" max="6914" width="11" style="307" customWidth="1"/>
    <col min="6915" max="6915" width="11.5" style="307" customWidth="1"/>
    <col min="6916" max="6917" width="11.33203125" style="307" customWidth="1"/>
    <col min="6918" max="6918" width="13.5" style="307" customWidth="1"/>
    <col min="6919" max="7165" width="8.83203125" style="307"/>
    <col min="7166" max="7166" width="4.5" style="307" customWidth="1"/>
    <col min="7167" max="7167" width="12.5" style="307" customWidth="1"/>
    <col min="7168" max="7168" width="11.83203125" style="307" customWidth="1"/>
    <col min="7169" max="7169" width="12.83203125" style="307" customWidth="1"/>
    <col min="7170" max="7170" width="11" style="307" customWidth="1"/>
    <col min="7171" max="7171" width="11.5" style="307" customWidth="1"/>
    <col min="7172" max="7173" width="11.33203125" style="307" customWidth="1"/>
    <col min="7174" max="7174" width="13.5" style="307" customWidth="1"/>
    <col min="7175" max="7421" width="8.83203125" style="307"/>
    <col min="7422" max="7422" width="4.5" style="307" customWidth="1"/>
    <col min="7423" max="7423" width="12.5" style="307" customWidth="1"/>
    <col min="7424" max="7424" width="11.83203125" style="307" customWidth="1"/>
    <col min="7425" max="7425" width="12.83203125" style="307" customWidth="1"/>
    <col min="7426" max="7426" width="11" style="307" customWidth="1"/>
    <col min="7427" max="7427" width="11.5" style="307" customWidth="1"/>
    <col min="7428" max="7429" width="11.33203125" style="307" customWidth="1"/>
    <col min="7430" max="7430" width="13.5" style="307" customWidth="1"/>
    <col min="7431" max="7677" width="8.83203125" style="307"/>
    <col min="7678" max="7678" width="4.5" style="307" customWidth="1"/>
    <col min="7679" max="7679" width="12.5" style="307" customWidth="1"/>
    <col min="7680" max="7680" width="11.83203125" style="307" customWidth="1"/>
    <col min="7681" max="7681" width="12.83203125" style="307" customWidth="1"/>
    <col min="7682" max="7682" width="11" style="307" customWidth="1"/>
    <col min="7683" max="7683" width="11.5" style="307" customWidth="1"/>
    <col min="7684" max="7685" width="11.33203125" style="307" customWidth="1"/>
    <col min="7686" max="7686" width="13.5" style="307" customWidth="1"/>
    <col min="7687" max="7933" width="8.83203125" style="307"/>
    <col min="7934" max="7934" width="4.5" style="307" customWidth="1"/>
    <col min="7935" max="7935" width="12.5" style="307" customWidth="1"/>
    <col min="7936" max="7936" width="11.83203125" style="307" customWidth="1"/>
    <col min="7937" max="7937" width="12.83203125" style="307" customWidth="1"/>
    <col min="7938" max="7938" width="11" style="307" customWidth="1"/>
    <col min="7939" max="7939" width="11.5" style="307" customWidth="1"/>
    <col min="7940" max="7941" width="11.33203125" style="307" customWidth="1"/>
    <col min="7942" max="7942" width="13.5" style="307" customWidth="1"/>
    <col min="7943" max="8189" width="8.83203125" style="307"/>
    <col min="8190" max="8190" width="4.5" style="307" customWidth="1"/>
    <col min="8191" max="8191" width="12.5" style="307" customWidth="1"/>
    <col min="8192" max="8192" width="11.83203125" style="307" customWidth="1"/>
    <col min="8193" max="8193" width="12.83203125" style="307" customWidth="1"/>
    <col min="8194" max="8194" width="11" style="307" customWidth="1"/>
    <col min="8195" max="8195" width="11.5" style="307" customWidth="1"/>
    <col min="8196" max="8197" width="11.33203125" style="307" customWidth="1"/>
    <col min="8198" max="8198" width="13.5" style="307" customWidth="1"/>
    <col min="8199" max="8445" width="8.83203125" style="307"/>
    <col min="8446" max="8446" width="4.5" style="307" customWidth="1"/>
    <col min="8447" max="8447" width="12.5" style="307" customWidth="1"/>
    <col min="8448" max="8448" width="11.83203125" style="307" customWidth="1"/>
    <col min="8449" max="8449" width="12.83203125" style="307" customWidth="1"/>
    <col min="8450" max="8450" width="11" style="307" customWidth="1"/>
    <col min="8451" max="8451" width="11.5" style="307" customWidth="1"/>
    <col min="8452" max="8453" width="11.33203125" style="307" customWidth="1"/>
    <col min="8454" max="8454" width="13.5" style="307" customWidth="1"/>
    <col min="8455" max="8701" width="8.83203125" style="307"/>
    <col min="8702" max="8702" width="4.5" style="307" customWidth="1"/>
    <col min="8703" max="8703" width="12.5" style="307" customWidth="1"/>
    <col min="8704" max="8704" width="11.83203125" style="307" customWidth="1"/>
    <col min="8705" max="8705" width="12.83203125" style="307" customWidth="1"/>
    <col min="8706" max="8706" width="11" style="307" customWidth="1"/>
    <col min="8707" max="8707" width="11.5" style="307" customWidth="1"/>
    <col min="8708" max="8709" width="11.33203125" style="307" customWidth="1"/>
    <col min="8710" max="8710" width="13.5" style="307" customWidth="1"/>
    <col min="8711" max="8957" width="8.83203125" style="307"/>
    <col min="8958" max="8958" width="4.5" style="307" customWidth="1"/>
    <col min="8959" max="8959" width="12.5" style="307" customWidth="1"/>
    <col min="8960" max="8960" width="11.83203125" style="307" customWidth="1"/>
    <col min="8961" max="8961" width="12.83203125" style="307" customWidth="1"/>
    <col min="8962" max="8962" width="11" style="307" customWidth="1"/>
    <col min="8963" max="8963" width="11.5" style="307" customWidth="1"/>
    <col min="8964" max="8965" width="11.33203125" style="307" customWidth="1"/>
    <col min="8966" max="8966" width="13.5" style="307" customWidth="1"/>
    <col min="8967" max="9213" width="8.83203125" style="307"/>
    <col min="9214" max="9214" width="4.5" style="307" customWidth="1"/>
    <col min="9215" max="9215" width="12.5" style="307" customWidth="1"/>
    <col min="9216" max="9216" width="11.83203125" style="307" customWidth="1"/>
    <col min="9217" max="9217" width="12.83203125" style="307" customWidth="1"/>
    <col min="9218" max="9218" width="11" style="307" customWidth="1"/>
    <col min="9219" max="9219" width="11.5" style="307" customWidth="1"/>
    <col min="9220" max="9221" width="11.33203125" style="307" customWidth="1"/>
    <col min="9222" max="9222" width="13.5" style="307" customWidth="1"/>
    <col min="9223" max="9469" width="8.83203125" style="307"/>
    <col min="9470" max="9470" width="4.5" style="307" customWidth="1"/>
    <col min="9471" max="9471" width="12.5" style="307" customWidth="1"/>
    <col min="9472" max="9472" width="11.83203125" style="307" customWidth="1"/>
    <col min="9473" max="9473" width="12.83203125" style="307" customWidth="1"/>
    <col min="9474" max="9474" width="11" style="307" customWidth="1"/>
    <col min="9475" max="9475" width="11.5" style="307" customWidth="1"/>
    <col min="9476" max="9477" width="11.33203125" style="307" customWidth="1"/>
    <col min="9478" max="9478" width="13.5" style="307" customWidth="1"/>
    <col min="9479" max="9725" width="8.83203125" style="307"/>
    <col min="9726" max="9726" width="4.5" style="307" customWidth="1"/>
    <col min="9727" max="9727" width="12.5" style="307" customWidth="1"/>
    <col min="9728" max="9728" width="11.83203125" style="307" customWidth="1"/>
    <col min="9729" max="9729" width="12.83203125" style="307" customWidth="1"/>
    <col min="9730" max="9730" width="11" style="307" customWidth="1"/>
    <col min="9731" max="9731" width="11.5" style="307" customWidth="1"/>
    <col min="9732" max="9733" width="11.33203125" style="307" customWidth="1"/>
    <col min="9734" max="9734" width="13.5" style="307" customWidth="1"/>
    <col min="9735" max="9981" width="8.83203125" style="307"/>
    <col min="9982" max="9982" width="4.5" style="307" customWidth="1"/>
    <col min="9983" max="9983" width="12.5" style="307" customWidth="1"/>
    <col min="9984" max="9984" width="11.83203125" style="307" customWidth="1"/>
    <col min="9985" max="9985" width="12.83203125" style="307" customWidth="1"/>
    <col min="9986" max="9986" width="11" style="307" customWidth="1"/>
    <col min="9987" max="9987" width="11.5" style="307" customWidth="1"/>
    <col min="9988" max="9989" width="11.33203125" style="307" customWidth="1"/>
    <col min="9990" max="9990" width="13.5" style="307" customWidth="1"/>
    <col min="9991" max="10237" width="8.83203125" style="307"/>
    <col min="10238" max="10238" width="4.5" style="307" customWidth="1"/>
    <col min="10239" max="10239" width="12.5" style="307" customWidth="1"/>
    <col min="10240" max="10240" width="11.83203125" style="307" customWidth="1"/>
    <col min="10241" max="10241" width="12.83203125" style="307" customWidth="1"/>
    <col min="10242" max="10242" width="11" style="307" customWidth="1"/>
    <col min="10243" max="10243" width="11.5" style="307" customWidth="1"/>
    <col min="10244" max="10245" width="11.33203125" style="307" customWidth="1"/>
    <col min="10246" max="10246" width="13.5" style="307" customWidth="1"/>
    <col min="10247" max="10493" width="8.83203125" style="307"/>
    <col min="10494" max="10494" width="4.5" style="307" customWidth="1"/>
    <col min="10495" max="10495" width="12.5" style="307" customWidth="1"/>
    <col min="10496" max="10496" width="11.83203125" style="307" customWidth="1"/>
    <col min="10497" max="10497" width="12.83203125" style="307" customWidth="1"/>
    <col min="10498" max="10498" width="11" style="307" customWidth="1"/>
    <col min="10499" max="10499" width="11.5" style="307" customWidth="1"/>
    <col min="10500" max="10501" width="11.33203125" style="307" customWidth="1"/>
    <col min="10502" max="10502" width="13.5" style="307" customWidth="1"/>
    <col min="10503" max="10749" width="8.83203125" style="307"/>
    <col min="10750" max="10750" width="4.5" style="307" customWidth="1"/>
    <col min="10751" max="10751" width="12.5" style="307" customWidth="1"/>
    <col min="10752" max="10752" width="11.83203125" style="307" customWidth="1"/>
    <col min="10753" max="10753" width="12.83203125" style="307" customWidth="1"/>
    <col min="10754" max="10754" width="11" style="307" customWidth="1"/>
    <col min="10755" max="10755" width="11.5" style="307" customWidth="1"/>
    <col min="10756" max="10757" width="11.33203125" style="307" customWidth="1"/>
    <col min="10758" max="10758" width="13.5" style="307" customWidth="1"/>
    <col min="10759" max="11005" width="8.83203125" style="307"/>
    <col min="11006" max="11006" width="4.5" style="307" customWidth="1"/>
    <col min="11007" max="11007" width="12.5" style="307" customWidth="1"/>
    <col min="11008" max="11008" width="11.83203125" style="307" customWidth="1"/>
    <col min="11009" max="11009" width="12.83203125" style="307" customWidth="1"/>
    <col min="11010" max="11010" width="11" style="307" customWidth="1"/>
    <col min="11011" max="11011" width="11.5" style="307" customWidth="1"/>
    <col min="11012" max="11013" width="11.33203125" style="307" customWidth="1"/>
    <col min="11014" max="11014" width="13.5" style="307" customWidth="1"/>
    <col min="11015" max="11261" width="8.83203125" style="307"/>
    <col min="11262" max="11262" width="4.5" style="307" customWidth="1"/>
    <col min="11263" max="11263" width="12.5" style="307" customWidth="1"/>
    <col min="11264" max="11264" width="11.83203125" style="307" customWidth="1"/>
    <col min="11265" max="11265" width="12.83203125" style="307" customWidth="1"/>
    <col min="11266" max="11266" width="11" style="307" customWidth="1"/>
    <col min="11267" max="11267" width="11.5" style="307" customWidth="1"/>
    <col min="11268" max="11269" width="11.33203125" style="307" customWidth="1"/>
    <col min="11270" max="11270" width="13.5" style="307" customWidth="1"/>
    <col min="11271" max="11517" width="8.83203125" style="307"/>
    <col min="11518" max="11518" width="4.5" style="307" customWidth="1"/>
    <col min="11519" max="11519" width="12.5" style="307" customWidth="1"/>
    <col min="11520" max="11520" width="11.83203125" style="307" customWidth="1"/>
    <col min="11521" max="11521" width="12.83203125" style="307" customWidth="1"/>
    <col min="11522" max="11522" width="11" style="307" customWidth="1"/>
    <col min="11523" max="11523" width="11.5" style="307" customWidth="1"/>
    <col min="11524" max="11525" width="11.33203125" style="307" customWidth="1"/>
    <col min="11526" max="11526" width="13.5" style="307" customWidth="1"/>
    <col min="11527" max="11773" width="8.83203125" style="307"/>
    <col min="11774" max="11774" width="4.5" style="307" customWidth="1"/>
    <col min="11775" max="11775" width="12.5" style="307" customWidth="1"/>
    <col min="11776" max="11776" width="11.83203125" style="307" customWidth="1"/>
    <col min="11777" max="11777" width="12.83203125" style="307" customWidth="1"/>
    <col min="11778" max="11778" width="11" style="307" customWidth="1"/>
    <col min="11779" max="11779" width="11.5" style="307" customWidth="1"/>
    <col min="11780" max="11781" width="11.33203125" style="307" customWidth="1"/>
    <col min="11782" max="11782" width="13.5" style="307" customWidth="1"/>
    <col min="11783" max="12029" width="8.83203125" style="307"/>
    <col min="12030" max="12030" width="4.5" style="307" customWidth="1"/>
    <col min="12031" max="12031" width="12.5" style="307" customWidth="1"/>
    <col min="12032" max="12032" width="11.83203125" style="307" customWidth="1"/>
    <col min="12033" max="12033" width="12.83203125" style="307" customWidth="1"/>
    <col min="12034" max="12034" width="11" style="307" customWidth="1"/>
    <col min="12035" max="12035" width="11.5" style="307" customWidth="1"/>
    <col min="12036" max="12037" width="11.33203125" style="307" customWidth="1"/>
    <col min="12038" max="12038" width="13.5" style="307" customWidth="1"/>
    <col min="12039" max="12285" width="8.83203125" style="307"/>
    <col min="12286" max="12286" width="4.5" style="307" customWidth="1"/>
    <col min="12287" max="12287" width="12.5" style="307" customWidth="1"/>
    <col min="12288" max="12288" width="11.83203125" style="307" customWidth="1"/>
    <col min="12289" max="12289" width="12.83203125" style="307" customWidth="1"/>
    <col min="12290" max="12290" width="11" style="307" customWidth="1"/>
    <col min="12291" max="12291" width="11.5" style="307" customWidth="1"/>
    <col min="12292" max="12293" width="11.33203125" style="307" customWidth="1"/>
    <col min="12294" max="12294" width="13.5" style="307" customWidth="1"/>
    <col min="12295" max="12541" width="8.83203125" style="307"/>
    <col min="12542" max="12542" width="4.5" style="307" customWidth="1"/>
    <col min="12543" max="12543" width="12.5" style="307" customWidth="1"/>
    <col min="12544" max="12544" width="11.83203125" style="307" customWidth="1"/>
    <col min="12545" max="12545" width="12.83203125" style="307" customWidth="1"/>
    <col min="12546" max="12546" width="11" style="307" customWidth="1"/>
    <col min="12547" max="12547" width="11.5" style="307" customWidth="1"/>
    <col min="12548" max="12549" width="11.33203125" style="307" customWidth="1"/>
    <col min="12550" max="12550" width="13.5" style="307" customWidth="1"/>
    <col min="12551" max="12797" width="8.83203125" style="307"/>
    <col min="12798" max="12798" width="4.5" style="307" customWidth="1"/>
    <col min="12799" max="12799" width="12.5" style="307" customWidth="1"/>
    <col min="12800" max="12800" width="11.83203125" style="307" customWidth="1"/>
    <col min="12801" max="12801" width="12.83203125" style="307" customWidth="1"/>
    <col min="12802" max="12802" width="11" style="307" customWidth="1"/>
    <col min="12803" max="12803" width="11.5" style="307" customWidth="1"/>
    <col min="12804" max="12805" width="11.33203125" style="307" customWidth="1"/>
    <col min="12806" max="12806" width="13.5" style="307" customWidth="1"/>
    <col min="12807" max="13053" width="8.83203125" style="307"/>
    <col min="13054" max="13054" width="4.5" style="307" customWidth="1"/>
    <col min="13055" max="13055" width="12.5" style="307" customWidth="1"/>
    <col min="13056" max="13056" width="11.83203125" style="307" customWidth="1"/>
    <col min="13057" max="13057" width="12.83203125" style="307" customWidth="1"/>
    <col min="13058" max="13058" width="11" style="307" customWidth="1"/>
    <col min="13059" max="13059" width="11.5" style="307" customWidth="1"/>
    <col min="13060" max="13061" width="11.33203125" style="307" customWidth="1"/>
    <col min="13062" max="13062" width="13.5" style="307" customWidth="1"/>
    <col min="13063" max="13309" width="8.83203125" style="307"/>
    <col min="13310" max="13310" width="4.5" style="307" customWidth="1"/>
    <col min="13311" max="13311" width="12.5" style="307" customWidth="1"/>
    <col min="13312" max="13312" width="11.83203125" style="307" customWidth="1"/>
    <col min="13313" max="13313" width="12.83203125" style="307" customWidth="1"/>
    <col min="13314" max="13314" width="11" style="307" customWidth="1"/>
    <col min="13315" max="13315" width="11.5" style="307" customWidth="1"/>
    <col min="13316" max="13317" width="11.33203125" style="307" customWidth="1"/>
    <col min="13318" max="13318" width="13.5" style="307" customWidth="1"/>
    <col min="13319" max="13565" width="8.83203125" style="307"/>
    <col min="13566" max="13566" width="4.5" style="307" customWidth="1"/>
    <col min="13567" max="13567" width="12.5" style="307" customWidth="1"/>
    <col min="13568" max="13568" width="11.83203125" style="307" customWidth="1"/>
    <col min="13569" max="13569" width="12.83203125" style="307" customWidth="1"/>
    <col min="13570" max="13570" width="11" style="307" customWidth="1"/>
    <col min="13571" max="13571" width="11.5" style="307" customWidth="1"/>
    <col min="13572" max="13573" width="11.33203125" style="307" customWidth="1"/>
    <col min="13574" max="13574" width="13.5" style="307" customWidth="1"/>
    <col min="13575" max="13821" width="8.83203125" style="307"/>
    <col min="13822" max="13822" width="4.5" style="307" customWidth="1"/>
    <col min="13823" max="13823" width="12.5" style="307" customWidth="1"/>
    <col min="13824" max="13824" width="11.83203125" style="307" customWidth="1"/>
    <col min="13825" max="13825" width="12.83203125" style="307" customWidth="1"/>
    <col min="13826" max="13826" width="11" style="307" customWidth="1"/>
    <col min="13827" max="13827" width="11.5" style="307" customWidth="1"/>
    <col min="13828" max="13829" width="11.33203125" style="307" customWidth="1"/>
    <col min="13830" max="13830" width="13.5" style="307" customWidth="1"/>
    <col min="13831" max="14077" width="8.83203125" style="307"/>
    <col min="14078" max="14078" width="4.5" style="307" customWidth="1"/>
    <col min="14079" max="14079" width="12.5" style="307" customWidth="1"/>
    <col min="14080" max="14080" width="11.83203125" style="307" customWidth="1"/>
    <col min="14081" max="14081" width="12.83203125" style="307" customWidth="1"/>
    <col min="14082" max="14082" width="11" style="307" customWidth="1"/>
    <col min="14083" max="14083" width="11.5" style="307" customWidth="1"/>
    <col min="14084" max="14085" width="11.33203125" style="307" customWidth="1"/>
    <col min="14086" max="14086" width="13.5" style="307" customWidth="1"/>
    <col min="14087" max="14333" width="8.83203125" style="307"/>
    <col min="14334" max="14334" width="4.5" style="307" customWidth="1"/>
    <col min="14335" max="14335" width="12.5" style="307" customWidth="1"/>
    <col min="14336" max="14336" width="11.83203125" style="307" customWidth="1"/>
    <col min="14337" max="14337" width="12.83203125" style="307" customWidth="1"/>
    <col min="14338" max="14338" width="11" style="307" customWidth="1"/>
    <col min="14339" max="14339" width="11.5" style="307" customWidth="1"/>
    <col min="14340" max="14341" width="11.33203125" style="307" customWidth="1"/>
    <col min="14342" max="14342" width="13.5" style="307" customWidth="1"/>
    <col min="14343" max="14589" width="8.83203125" style="307"/>
    <col min="14590" max="14590" width="4.5" style="307" customWidth="1"/>
    <col min="14591" max="14591" width="12.5" style="307" customWidth="1"/>
    <col min="14592" max="14592" width="11.83203125" style="307" customWidth="1"/>
    <col min="14593" max="14593" width="12.83203125" style="307" customWidth="1"/>
    <col min="14594" max="14594" width="11" style="307" customWidth="1"/>
    <col min="14595" max="14595" width="11.5" style="307" customWidth="1"/>
    <col min="14596" max="14597" width="11.33203125" style="307" customWidth="1"/>
    <col min="14598" max="14598" width="13.5" style="307" customWidth="1"/>
    <col min="14599" max="14845" width="8.83203125" style="307"/>
    <col min="14846" max="14846" width="4.5" style="307" customWidth="1"/>
    <col min="14847" max="14847" width="12.5" style="307" customWidth="1"/>
    <col min="14848" max="14848" width="11.83203125" style="307" customWidth="1"/>
    <col min="14849" max="14849" width="12.83203125" style="307" customWidth="1"/>
    <col min="14850" max="14850" width="11" style="307" customWidth="1"/>
    <col min="14851" max="14851" width="11.5" style="307" customWidth="1"/>
    <col min="14852" max="14853" width="11.33203125" style="307" customWidth="1"/>
    <col min="14854" max="14854" width="13.5" style="307" customWidth="1"/>
    <col min="14855" max="15101" width="8.83203125" style="307"/>
    <col min="15102" max="15102" width="4.5" style="307" customWidth="1"/>
    <col min="15103" max="15103" width="12.5" style="307" customWidth="1"/>
    <col min="15104" max="15104" width="11.83203125" style="307" customWidth="1"/>
    <col min="15105" max="15105" width="12.83203125" style="307" customWidth="1"/>
    <col min="15106" max="15106" width="11" style="307" customWidth="1"/>
    <col min="15107" max="15107" width="11.5" style="307" customWidth="1"/>
    <col min="15108" max="15109" width="11.33203125" style="307" customWidth="1"/>
    <col min="15110" max="15110" width="13.5" style="307" customWidth="1"/>
    <col min="15111" max="15357" width="8.83203125" style="307"/>
    <col min="15358" max="15358" width="4.5" style="307" customWidth="1"/>
    <col min="15359" max="15359" width="12.5" style="307" customWidth="1"/>
    <col min="15360" max="15360" width="11.83203125" style="307" customWidth="1"/>
    <col min="15361" max="15361" width="12.83203125" style="307" customWidth="1"/>
    <col min="15362" max="15362" width="11" style="307" customWidth="1"/>
    <col min="15363" max="15363" width="11.5" style="307" customWidth="1"/>
    <col min="15364" max="15365" width="11.33203125" style="307" customWidth="1"/>
    <col min="15366" max="15366" width="13.5" style="307" customWidth="1"/>
    <col min="15367" max="15613" width="8.83203125" style="307"/>
    <col min="15614" max="15614" width="4.5" style="307" customWidth="1"/>
    <col min="15615" max="15615" width="12.5" style="307" customWidth="1"/>
    <col min="15616" max="15616" width="11.83203125" style="307" customWidth="1"/>
    <col min="15617" max="15617" width="12.83203125" style="307" customWidth="1"/>
    <col min="15618" max="15618" width="11" style="307" customWidth="1"/>
    <col min="15619" max="15619" width="11.5" style="307" customWidth="1"/>
    <col min="15620" max="15621" width="11.33203125" style="307" customWidth="1"/>
    <col min="15622" max="15622" width="13.5" style="307" customWidth="1"/>
    <col min="15623" max="15869" width="8.83203125" style="307"/>
    <col min="15870" max="15870" width="4.5" style="307" customWidth="1"/>
    <col min="15871" max="15871" width="12.5" style="307" customWidth="1"/>
    <col min="15872" max="15872" width="11.83203125" style="307" customWidth="1"/>
    <col min="15873" max="15873" width="12.83203125" style="307" customWidth="1"/>
    <col min="15874" max="15874" width="11" style="307" customWidth="1"/>
    <col min="15875" max="15875" width="11.5" style="307" customWidth="1"/>
    <col min="15876" max="15877" width="11.33203125" style="307" customWidth="1"/>
    <col min="15878" max="15878" width="13.5" style="307" customWidth="1"/>
    <col min="15879" max="16125" width="8.83203125" style="307"/>
    <col min="16126" max="16126" width="4.5" style="307" customWidth="1"/>
    <col min="16127" max="16127" width="12.5" style="307" customWidth="1"/>
    <col min="16128" max="16128" width="11.83203125" style="307" customWidth="1"/>
    <col min="16129" max="16129" width="12.83203125" style="307" customWidth="1"/>
    <col min="16130" max="16130" width="11" style="307" customWidth="1"/>
    <col min="16131" max="16131" width="11.5" style="307" customWidth="1"/>
    <col min="16132" max="16133" width="11.33203125" style="307" customWidth="1"/>
    <col min="16134" max="16134" width="13.5" style="307" customWidth="1"/>
    <col min="16135" max="16384" width="8.83203125" style="307"/>
  </cols>
  <sheetData>
    <row r="1" spans="1:16" ht="33" customHeight="1">
      <c r="A1" s="770" t="s">
        <v>104</v>
      </c>
      <c r="B1" s="771"/>
      <c r="C1" s="771"/>
      <c r="D1" s="771"/>
      <c r="E1" s="771"/>
      <c r="F1" s="771"/>
      <c r="G1" s="771"/>
      <c r="H1" s="771"/>
    </row>
    <row r="2" spans="1:16" ht="22" customHeight="1">
      <c r="A2" s="308" t="str">
        <f>'Amortization-HIDDEN'!A2</f>
        <v>4.1.5.c</v>
      </c>
      <c r="B2" s="308" t="str">
        <f>'Amortization-HIDDEN'!B2</f>
        <v>04232024</v>
      </c>
      <c r="C2" s="308"/>
      <c r="D2" s="308"/>
      <c r="E2" s="308"/>
      <c r="F2" s="308"/>
      <c r="G2" s="308"/>
      <c r="H2" s="308"/>
    </row>
    <row r="3" spans="1:16" ht="19.5" customHeight="1" thickBot="1">
      <c r="A3" s="309"/>
      <c r="B3" s="309"/>
      <c r="C3" s="309"/>
      <c r="D3" s="310" t="s">
        <v>92</v>
      </c>
      <c r="E3" s="310"/>
      <c r="F3" s="309"/>
      <c r="G3" s="309"/>
      <c r="H3" s="306"/>
      <c r="I3" s="311"/>
      <c r="J3" s="311"/>
      <c r="L3" s="311"/>
    </row>
    <row r="4" spans="1:16">
      <c r="A4" s="769" t="s">
        <v>93</v>
      </c>
      <c r="B4" s="769"/>
      <c r="C4" s="769"/>
      <c r="D4" s="312">
        <f>'Summary Schedule'!G26+'Summary Schedule'!G27+'Summary Schedule'!G28-'Summary Schedule'!G29</f>
        <v>18024232.379310332</v>
      </c>
      <c r="E4" s="309" t="s">
        <v>102</v>
      </c>
      <c r="F4" s="307"/>
      <c r="G4" s="307"/>
      <c r="H4" s="307"/>
      <c r="I4" s="307"/>
      <c r="L4" s="471"/>
    </row>
    <row r="5" spans="1:16">
      <c r="A5" s="769" t="s">
        <v>117</v>
      </c>
      <c r="B5" s="769"/>
      <c r="C5" s="769"/>
      <c r="D5" s="313">
        <f>'Summary Schedule'!C30/12</f>
        <v>4.1666666666666666E-3</v>
      </c>
      <c r="E5" s="309" t="s">
        <v>102</v>
      </c>
      <c r="F5" s="307"/>
      <c r="G5" s="307"/>
      <c r="H5" s="314"/>
      <c r="I5" s="307"/>
      <c r="L5" s="311"/>
    </row>
    <row r="6" spans="1:16">
      <c r="A6" s="769" t="s">
        <v>118</v>
      </c>
      <c r="B6" s="769"/>
      <c r="C6" s="769"/>
      <c r="D6" s="315">
        <v>480</v>
      </c>
      <c r="E6" s="309" t="s">
        <v>108</v>
      </c>
      <c r="F6" s="307"/>
      <c r="G6" s="316"/>
      <c r="H6" s="307"/>
      <c r="I6" s="317"/>
      <c r="L6" s="311"/>
    </row>
    <row r="7" spans="1:16" ht="14" thickBot="1">
      <c r="A7" s="769" t="s">
        <v>94</v>
      </c>
      <c r="B7" s="769"/>
      <c r="C7" s="769"/>
      <c r="D7" s="318">
        <f>IF('Summary Schedule'!G32="",1/1/1,'Summary Schedule'!G32)</f>
        <v>46315</v>
      </c>
      <c r="E7" s="309" t="s">
        <v>102</v>
      </c>
      <c r="F7" s="307"/>
      <c r="G7" s="307"/>
      <c r="H7" s="307"/>
      <c r="I7" s="307"/>
      <c r="L7" s="311"/>
    </row>
    <row r="8" spans="1:16">
      <c r="A8" s="319"/>
      <c r="B8" s="319"/>
      <c r="C8" s="319"/>
      <c r="D8" s="320"/>
      <c r="E8" s="319"/>
      <c r="F8" s="307"/>
      <c r="G8" s="307"/>
      <c r="H8" s="307"/>
      <c r="I8" s="307"/>
      <c r="L8" s="311"/>
    </row>
    <row r="9" spans="1:16" ht="14.25" customHeight="1" thickBot="1">
      <c r="A9" s="309"/>
      <c r="B9" s="309"/>
      <c r="C9" s="309"/>
      <c r="D9" s="309"/>
      <c r="E9" s="309"/>
      <c r="F9" s="307"/>
      <c r="G9" s="307"/>
      <c r="H9" s="307"/>
      <c r="I9" s="307"/>
      <c r="L9" s="311"/>
      <c r="M9" s="314"/>
    </row>
    <row r="10" spans="1:16" ht="14.25" customHeight="1" thickBot="1">
      <c r="A10" s="769" t="s">
        <v>357</v>
      </c>
      <c r="B10" s="769"/>
      <c r="C10" s="769"/>
      <c r="D10" s="321">
        <f>IF('Summary Schedule'!C36="Beginning",1,0)</f>
        <v>0</v>
      </c>
      <c r="E10" s="309" t="s">
        <v>103</v>
      </c>
      <c r="F10" s="307"/>
      <c r="G10" s="307"/>
      <c r="H10" s="307"/>
      <c r="I10" s="307"/>
      <c r="L10" s="311"/>
      <c r="M10" s="314"/>
    </row>
    <row r="11" spans="1:16" ht="14.25" customHeight="1">
      <c r="A11" s="769" t="s">
        <v>127</v>
      </c>
      <c r="B11" s="769"/>
      <c r="C11" s="769"/>
      <c r="D11" s="315">
        <f ca="1">M15</f>
        <v>18</v>
      </c>
      <c r="E11" s="309"/>
      <c r="F11" s="307"/>
      <c r="G11" s="322"/>
      <c r="H11" s="307"/>
      <c r="I11" s="307"/>
      <c r="L11" s="470"/>
      <c r="M11" s="470"/>
    </row>
    <row r="12" spans="1:16">
      <c r="A12" s="769" t="s">
        <v>125</v>
      </c>
      <c r="B12" s="769"/>
      <c r="C12" s="769"/>
      <c r="D12" s="323"/>
      <c r="E12" s="324"/>
      <c r="F12" s="96"/>
      <c r="G12" s="96"/>
      <c r="H12" s="307"/>
      <c r="I12" s="307"/>
    </row>
    <row r="13" spans="1:16">
      <c r="A13" s="769" t="s">
        <v>95</v>
      </c>
      <c r="B13" s="769"/>
      <c r="C13" s="769"/>
      <c r="D13" s="325"/>
      <c r="E13" s="324"/>
      <c r="F13" s="307"/>
      <c r="G13" s="307"/>
      <c r="H13" s="307"/>
      <c r="I13" s="307"/>
    </row>
    <row r="14" spans="1:16" ht="14.25" customHeight="1" thickBot="1">
      <c r="A14" s="769" t="s">
        <v>128</v>
      </c>
      <c r="B14" s="769"/>
      <c r="C14" s="769"/>
      <c r="D14" s="326"/>
      <c r="E14" s="309"/>
      <c r="F14" s="327"/>
      <c r="G14" s="327"/>
      <c r="H14" s="327"/>
      <c r="I14" s="307"/>
    </row>
    <row r="15" spans="1:16" ht="15.75" customHeight="1">
      <c r="A15" s="769"/>
      <c r="B15" s="769"/>
      <c r="C15" s="769"/>
      <c r="D15" s="328" t="s">
        <v>122</v>
      </c>
      <c r="E15" s="320"/>
      <c r="F15" s="307"/>
      <c r="G15" s="307"/>
      <c r="H15" s="327"/>
      <c r="I15" s="307"/>
      <c r="M15" s="307">
        <f ca="1">COUNTIF(M17:M56,"&lt;&gt;0")</f>
        <v>18</v>
      </c>
    </row>
    <row r="16" spans="1:16" s="334" customFormat="1" ht="28.5" customHeight="1">
      <c r="A16" s="329" t="s">
        <v>96</v>
      </c>
      <c r="B16" s="329" t="s">
        <v>97</v>
      </c>
      <c r="C16" s="329" t="s">
        <v>98</v>
      </c>
      <c r="D16" s="330"/>
      <c r="E16" s="329" t="s">
        <v>126</v>
      </c>
      <c r="F16" s="329" t="s">
        <v>99</v>
      </c>
      <c r="G16" s="329" t="s">
        <v>100</v>
      </c>
      <c r="H16" s="329" t="s">
        <v>101</v>
      </c>
      <c r="I16" s="331"/>
      <c r="J16" s="332" t="s">
        <v>115</v>
      </c>
      <c r="K16" s="332" t="s">
        <v>114</v>
      </c>
      <c r="L16" s="332" t="s">
        <v>124</v>
      </c>
      <c r="M16" s="332" t="s">
        <v>116</v>
      </c>
      <c r="N16" s="332" t="str">
        <f>F16</f>
        <v>Principal</v>
      </c>
      <c r="O16" s="332" t="str">
        <f>G16</f>
        <v>Interest</v>
      </c>
      <c r="P16" s="333"/>
    </row>
    <row r="17" spans="1:22">
      <c r="A17" s="335">
        <v>0</v>
      </c>
      <c r="B17" s="335"/>
      <c r="C17" s="336"/>
      <c r="D17" s="336">
        <f ca="1">IF(H17&lt;0,0,0.25*(K17-L17))</f>
        <v>339957</v>
      </c>
      <c r="E17" s="336"/>
      <c r="F17" s="336"/>
      <c r="G17" s="336"/>
      <c r="H17" s="336">
        <f>D4</f>
        <v>18024232.379310332</v>
      </c>
      <c r="I17" s="337">
        <f ca="1">ROUND((D17-H17),0)</f>
        <v>-17684275</v>
      </c>
      <c r="J17" s="338">
        <v>1</v>
      </c>
      <c r="K17" s="122" cm="1">
        <f t="array" aca="1" ref="K17" ca="1">'Itemized Costs-HIDDEN'!M5-INDIRECT("'Sch3-Perf Period Cash Flow'!D"&amp;7&amp;"")</f>
        <v>1485411</v>
      </c>
      <c r="L17" s="468" cm="1">
        <f t="array" ref="L17:L56">TRANSPOSE('Sch3-Perf Period Cash Flow'!D21:AQ21)</f>
        <v>125583</v>
      </c>
      <c r="M17" s="122">
        <f ca="1">N17+O17</f>
        <v>1359828</v>
      </c>
      <c r="N17" s="122">
        <f ca="1">ROUND(SUM(INDIRECT(S17):INDIRECT(T17)),0)</f>
        <v>469266</v>
      </c>
      <c r="O17" s="122">
        <f ca="1">IF(N17=0,0,ROUND(SUM(INDIRECT(U17):INDIRECT(V17)),0))</f>
        <v>890562</v>
      </c>
      <c r="P17" s="123">
        <f ca="1">IF(N17&gt;0.005,J17,"")</f>
        <v>1</v>
      </c>
      <c r="Q17" s="1">
        <v>18</v>
      </c>
      <c r="R17" s="1">
        <f t="shared" ref="R17:R34" si="0">Q17+11</f>
        <v>29</v>
      </c>
      <c r="S17" s="1" t="str">
        <f>CONCATENATE("f",Q17)</f>
        <v>f18</v>
      </c>
      <c r="T17" s="1" t="str">
        <f>CONCATENATE("f",R17)</f>
        <v>f29</v>
      </c>
      <c r="U17" s="1" t="str">
        <f t="shared" ref="U17:V32" si="1">CONCATENATE("G",Q17)</f>
        <v>G18</v>
      </c>
      <c r="V17" s="1" t="str">
        <f t="shared" si="1"/>
        <v>G29</v>
      </c>
    </row>
    <row r="18" spans="1:22">
      <c r="A18" s="335">
        <f t="shared" ref="A18:A81" si="2">IF(A17="","",IF(A17=$D$6,"",A17+1))</f>
        <v>1</v>
      </c>
      <c r="B18" s="340">
        <f>D7</f>
        <v>46315</v>
      </c>
      <c r="C18" s="336">
        <f>IF(H17=0,0,H17)</f>
        <v>18024232.379310332</v>
      </c>
      <c r="D18" s="335"/>
      <c r="E18" s="336">
        <f>IF($D$10=1,
 IF(OR(MONTH(B18)=MONTH(EDATE($D$7,0)),MONTH(B18)=MONTH(EDATE($D$7,3)),MONTH(B18)=MONTH(EDATE($D$7,6)),MONTH(B18)=MONTH(EDATE($D$7,9))),(MIN($D$17,H17)),0),
IF($D$10=0,
 IF(OR(MONTH(B18)=MONTH(EDATE($D$7,2)),MONTH(B18)=MONTH(EDATE($D$7,5)),MONTH(B18)=MONTH(EDATE($D$7,8)),MONTH(B18)=MONTH(EDATE($D$7,11))),(MIN($D$17,H17)),0)))</f>
        <v>0</v>
      </c>
      <c r="F18" s="336">
        <f t="shared" ref="F18:F81" si="3">IF(E18="","",E18-G18)</f>
        <v>-75100.967999999993</v>
      </c>
      <c r="G18" s="336">
        <f>ROUND((C18-E18)*$D$5,3)</f>
        <v>75100.967999999993</v>
      </c>
      <c r="H18" s="336">
        <f>IF(E18="","",ROUND(H17-F18,4))</f>
        <v>18099333.3473</v>
      </c>
      <c r="I18" s="337">
        <f t="shared" ref="I18:I81" si="4">ROUND((D18-H18),0)</f>
        <v>-18099333</v>
      </c>
      <c r="J18" s="338">
        <v>2</v>
      </c>
      <c r="K18" s="122" cm="1">
        <f t="array" aca="1" ref="K18" ca="1">'Itemized Costs-HIDDEN'!M6-INDIRECT("'Sch3-Perf Period Cash Flow'!D"&amp;7&amp;"")</f>
        <v>1515189</v>
      </c>
      <c r="L18" s="469">
        <v>128472</v>
      </c>
      <c r="M18" s="122">
        <f t="shared" ref="M18:M56" ca="1" si="5">N18+O18</f>
        <v>1386717</v>
      </c>
      <c r="N18" s="122">
        <f ca="1">ROUND(SUM(INDIRECT(S18):INDIRECT(T18)),0)</f>
        <v>520788</v>
      </c>
      <c r="O18" s="122">
        <f ca="1">IF(N18=0,0,ROUND(SUM(INDIRECT(U18):INDIRECT(V18)),0))</f>
        <v>865929</v>
      </c>
      <c r="P18" s="123">
        <f t="shared" ref="P18:P56" ca="1" si="6">IF(N18&gt;0.005,J18,"")</f>
        <v>2</v>
      </c>
      <c r="Q18" s="1">
        <f>Q17+12</f>
        <v>30</v>
      </c>
      <c r="R18" s="1">
        <f t="shared" si="0"/>
        <v>41</v>
      </c>
      <c r="S18" s="1" t="str">
        <f t="shared" ref="S18:T56" si="7">CONCATENATE("f",Q18)</f>
        <v>f30</v>
      </c>
      <c r="T18" s="1" t="str">
        <f t="shared" si="7"/>
        <v>f41</v>
      </c>
      <c r="U18" s="1" t="str">
        <f t="shared" si="1"/>
        <v>G30</v>
      </c>
      <c r="V18" s="1" t="str">
        <f t="shared" si="1"/>
        <v>G41</v>
      </c>
    </row>
    <row r="19" spans="1:22">
      <c r="A19" s="335">
        <f t="shared" si="2"/>
        <v>2</v>
      </c>
      <c r="B19" s="340">
        <f>DATE(YEAR(B18),MONTH(B18)+1,1)</f>
        <v>46327</v>
      </c>
      <c r="C19" s="336">
        <f t="shared" ref="C19:C82" si="8">IF(H18=0,0,H18)</f>
        <v>18099333.3473</v>
      </c>
      <c r="D19" s="335"/>
      <c r="E19" s="336">
        <f t="shared" ref="E19:E29" si="9">IF($D$10=1,
 IF(OR(MONTH(B19)=MONTH(EDATE($D$7,0)),MONTH(B19)=MONTH(EDATE($D$7,3)),MONTH(B19)=MONTH(EDATE($D$7,6)),MONTH(B19)=MONTH(EDATE($D$7,9))),(MIN($D$17,H18)),0),
IF($D$10=0,
 IF(OR(MONTH(B19)=MONTH(EDATE($D$7,2)),MONTH(B19)=MONTH(EDATE($D$7,5)),MONTH(B19)=MONTH(EDATE($D$7,8)),MONTH(B19)=MONTH(EDATE($D$7,11))),(MIN($D$17,H18)),0)))</f>
        <v>0</v>
      </c>
      <c r="F19" s="336">
        <f t="shared" si="3"/>
        <v>-75413.888999999996</v>
      </c>
      <c r="G19" s="336">
        <f t="shared" ref="G19:G82" si="10">ROUND((C19-E19)*$D$5,3)</f>
        <v>75413.888999999996</v>
      </c>
      <c r="H19" s="336">
        <f t="shared" ref="H19:H82" si="11">IF(E19="","",ROUND(H18-F19,4))</f>
        <v>18174747.236299999</v>
      </c>
      <c r="I19" s="337">
        <f t="shared" si="4"/>
        <v>-18174747</v>
      </c>
      <c r="J19" s="338">
        <v>3</v>
      </c>
      <c r="K19" s="122" cm="1">
        <f t="array" aca="1" ref="K19" ca="1">'Itemized Costs-HIDDEN'!M7-INDIRECT("'Sch3-Perf Period Cash Flow'!D"&amp;7&amp;"")</f>
        <v>1545710</v>
      </c>
      <c r="L19" s="469">
        <v>131427</v>
      </c>
      <c r="M19" s="122">
        <f t="shared" ca="1" si="5"/>
        <v>1414283</v>
      </c>
      <c r="N19" s="122">
        <f ca="1">ROUND(SUM(INDIRECT(S19):INDIRECT(T19)),0)</f>
        <v>575639</v>
      </c>
      <c r="O19" s="122">
        <f ca="1">IF(N19=0,0,ROUND(SUM(INDIRECT(U19):INDIRECT(V19)),0))</f>
        <v>838644</v>
      </c>
      <c r="P19" s="123">
        <f t="shared" ca="1" si="6"/>
        <v>3</v>
      </c>
      <c r="Q19" s="1">
        <f t="shared" ref="Q19:Q56" si="12">Q18+12</f>
        <v>42</v>
      </c>
      <c r="R19" s="1">
        <f t="shared" si="0"/>
        <v>53</v>
      </c>
      <c r="S19" s="1" t="str">
        <f t="shared" si="7"/>
        <v>f42</v>
      </c>
      <c r="T19" s="1" t="str">
        <f t="shared" si="7"/>
        <v>f53</v>
      </c>
      <c r="U19" s="1" t="str">
        <f t="shared" si="1"/>
        <v>G42</v>
      </c>
      <c r="V19" s="1" t="str">
        <f t="shared" si="1"/>
        <v>G53</v>
      </c>
    </row>
    <row r="20" spans="1:22">
      <c r="A20" s="335">
        <f t="shared" si="2"/>
        <v>3</v>
      </c>
      <c r="B20" s="340">
        <f t="shared" ref="B20:B83" si="13">DATE(YEAR(B19),MONTH(B19)+1,1)</f>
        <v>46357</v>
      </c>
      <c r="C20" s="336">
        <f t="shared" si="8"/>
        <v>18174747.236299999</v>
      </c>
      <c r="D20" s="335"/>
      <c r="E20" s="336">
        <f t="shared" ca="1" si="9"/>
        <v>339957</v>
      </c>
      <c r="F20" s="336">
        <f t="shared" ca="1" si="3"/>
        <v>265645.37400000001</v>
      </c>
      <c r="G20" s="336">
        <f t="shared" ca="1" si="10"/>
        <v>74311.626000000004</v>
      </c>
      <c r="H20" s="336">
        <f t="shared" ca="1" si="11"/>
        <v>17909101.862300001</v>
      </c>
      <c r="I20" s="337">
        <f t="shared" ca="1" si="4"/>
        <v>-17909102</v>
      </c>
      <c r="J20" s="338">
        <v>4</v>
      </c>
      <c r="K20" s="122" cm="1">
        <f t="array" aca="1" ref="K20" ca="1">'Itemized Costs-HIDDEN'!M8-INDIRECT("'Sch3-Perf Period Cash Flow'!D"&amp;7&amp;"")</f>
        <v>1576996</v>
      </c>
      <c r="L20" s="469">
        <v>134450</v>
      </c>
      <c r="M20" s="122">
        <f t="shared" ca="1" si="5"/>
        <v>1442546</v>
      </c>
      <c r="N20" s="122">
        <f ca="1">ROUND(SUM(INDIRECT(S20):INDIRECT(T20)),0)</f>
        <v>634009</v>
      </c>
      <c r="O20" s="122">
        <f ca="1">IF(N20=0,0,ROUND(SUM(INDIRECT(U20):INDIRECT(V20)),0))</f>
        <v>808537</v>
      </c>
      <c r="P20" s="123">
        <f t="shared" ca="1" si="6"/>
        <v>4</v>
      </c>
      <c r="Q20" s="1">
        <f t="shared" si="12"/>
        <v>54</v>
      </c>
      <c r="R20" s="1">
        <f t="shared" si="0"/>
        <v>65</v>
      </c>
      <c r="S20" s="1" t="str">
        <f t="shared" si="7"/>
        <v>f54</v>
      </c>
      <c r="T20" s="1" t="str">
        <f t="shared" si="7"/>
        <v>f65</v>
      </c>
      <c r="U20" s="1" t="str">
        <f t="shared" si="1"/>
        <v>G54</v>
      </c>
      <c r="V20" s="1" t="str">
        <f t="shared" si="1"/>
        <v>G65</v>
      </c>
    </row>
    <row r="21" spans="1:22">
      <c r="A21" s="335">
        <f t="shared" si="2"/>
        <v>4</v>
      </c>
      <c r="B21" s="340">
        <f t="shared" si="13"/>
        <v>46388</v>
      </c>
      <c r="C21" s="336">
        <f t="shared" ca="1" si="8"/>
        <v>17909101.862300001</v>
      </c>
      <c r="D21" s="335"/>
      <c r="E21" s="336">
        <f t="shared" si="9"/>
        <v>0</v>
      </c>
      <c r="F21" s="336">
        <f t="shared" ca="1" si="3"/>
        <v>-74621.258000000002</v>
      </c>
      <c r="G21" s="336">
        <f t="shared" ca="1" si="10"/>
        <v>74621.258000000002</v>
      </c>
      <c r="H21" s="336">
        <f t="shared" ca="1" si="11"/>
        <v>17983723.120299999</v>
      </c>
      <c r="I21" s="337">
        <f t="shared" ca="1" si="4"/>
        <v>-17983723</v>
      </c>
      <c r="J21" s="338">
        <v>5</v>
      </c>
      <c r="K21" s="122" cm="1">
        <f t="array" aca="1" ref="K21" ca="1">'Itemized Costs-HIDDEN'!M9-INDIRECT("'Sch3-Perf Period Cash Flow'!D"&amp;7&amp;"")</f>
        <v>1609068</v>
      </c>
      <c r="L21" s="469">
        <v>137542</v>
      </c>
      <c r="M21" s="122">
        <f t="shared" ca="1" si="5"/>
        <v>1471526</v>
      </c>
      <c r="N21" s="122">
        <f ca="1">ROUND(SUM(INDIRECT(S21):INDIRECT(T21)),0)</f>
        <v>696100</v>
      </c>
      <c r="O21" s="122">
        <f ca="1">IF(N21=0,0,ROUND(SUM(INDIRECT(U21):INDIRECT(V21)),0))</f>
        <v>775426</v>
      </c>
      <c r="P21" s="123">
        <f t="shared" ca="1" si="6"/>
        <v>5</v>
      </c>
      <c r="Q21" s="1">
        <f t="shared" si="12"/>
        <v>66</v>
      </c>
      <c r="R21" s="1">
        <f t="shared" si="0"/>
        <v>77</v>
      </c>
      <c r="S21" s="1" t="str">
        <f t="shared" si="7"/>
        <v>f66</v>
      </c>
      <c r="T21" s="1" t="str">
        <f t="shared" si="7"/>
        <v>f77</v>
      </c>
      <c r="U21" s="1" t="str">
        <f t="shared" si="1"/>
        <v>G66</v>
      </c>
      <c r="V21" s="1" t="str">
        <f t="shared" si="1"/>
        <v>G77</v>
      </c>
    </row>
    <row r="22" spans="1:22">
      <c r="A22" s="335">
        <f t="shared" si="2"/>
        <v>5</v>
      </c>
      <c r="B22" s="340">
        <f t="shared" si="13"/>
        <v>46419</v>
      </c>
      <c r="C22" s="336">
        <f t="shared" ca="1" si="8"/>
        <v>17983723.120299999</v>
      </c>
      <c r="D22" s="335"/>
      <c r="E22" s="336">
        <f t="shared" si="9"/>
        <v>0</v>
      </c>
      <c r="F22" s="336">
        <f t="shared" ca="1" si="3"/>
        <v>-74932.179999999993</v>
      </c>
      <c r="G22" s="336">
        <f t="shared" ca="1" si="10"/>
        <v>74932.179999999993</v>
      </c>
      <c r="H22" s="336">
        <f t="shared" ca="1" si="11"/>
        <v>18058655.300299998</v>
      </c>
      <c r="I22" s="337">
        <f t="shared" ca="1" si="4"/>
        <v>-18058655</v>
      </c>
      <c r="J22" s="338">
        <v>6</v>
      </c>
      <c r="K22" s="122" cm="1">
        <f t="array" aca="1" ref="K22" ca="1">'Itemized Costs-HIDDEN'!M10-INDIRECT("'Sch3-Perf Period Cash Flow'!D"&amp;7&amp;"")</f>
        <v>1641951</v>
      </c>
      <c r="L22" s="469">
        <v>140705</v>
      </c>
      <c r="M22" s="122">
        <f t="shared" ca="1" si="5"/>
        <v>1501246</v>
      </c>
      <c r="N22" s="122">
        <f ca="1">ROUND(SUM(INDIRECT(S22):INDIRECT(T22)),0)</f>
        <v>762124</v>
      </c>
      <c r="O22" s="122">
        <f ca="1">IF(N22=0,0,ROUND(SUM(INDIRECT(U22):INDIRECT(V22)),0))</f>
        <v>739122</v>
      </c>
      <c r="P22" s="123">
        <f t="shared" ca="1" si="6"/>
        <v>6</v>
      </c>
      <c r="Q22" s="1">
        <f t="shared" si="12"/>
        <v>78</v>
      </c>
      <c r="R22" s="1">
        <f t="shared" si="0"/>
        <v>89</v>
      </c>
      <c r="S22" s="1" t="str">
        <f t="shared" si="7"/>
        <v>f78</v>
      </c>
      <c r="T22" s="1" t="str">
        <f t="shared" si="7"/>
        <v>f89</v>
      </c>
      <c r="U22" s="1" t="str">
        <f t="shared" si="1"/>
        <v>G78</v>
      </c>
      <c r="V22" s="1" t="str">
        <f t="shared" si="1"/>
        <v>G89</v>
      </c>
    </row>
    <row r="23" spans="1:22">
      <c r="A23" s="335">
        <f t="shared" si="2"/>
        <v>6</v>
      </c>
      <c r="B23" s="340">
        <f t="shared" si="13"/>
        <v>46447</v>
      </c>
      <c r="C23" s="336">
        <f t="shared" ca="1" si="8"/>
        <v>18058655.300299998</v>
      </c>
      <c r="D23" s="335"/>
      <c r="E23" s="336">
        <f t="shared" ca="1" si="9"/>
        <v>339957</v>
      </c>
      <c r="F23" s="336">
        <f t="shared" ca="1" si="3"/>
        <v>266129.08999999997</v>
      </c>
      <c r="G23" s="336">
        <f t="shared" ca="1" si="10"/>
        <v>73827.91</v>
      </c>
      <c r="H23" s="336">
        <f t="shared" ca="1" si="11"/>
        <v>17792526.210299999</v>
      </c>
      <c r="I23" s="337">
        <f t="shared" ca="1" si="4"/>
        <v>-17792526</v>
      </c>
      <c r="J23" s="338">
        <v>7</v>
      </c>
      <c r="K23" s="122" cm="1">
        <f t="array" aca="1" ref="K23" ca="1">'Itemized Costs-HIDDEN'!M11-INDIRECT("'Sch3-Perf Period Cash Flow'!D"&amp;7&amp;"")</f>
        <v>1675669</v>
      </c>
      <c r="L23" s="469">
        <v>143941</v>
      </c>
      <c r="M23" s="122">
        <f t="shared" ca="1" si="5"/>
        <v>1531728</v>
      </c>
      <c r="N23" s="122">
        <f ca="1">ROUND(SUM(INDIRECT(S23):INDIRECT(T23)),0)</f>
        <v>832306</v>
      </c>
      <c r="O23" s="122">
        <f ca="1">IF(N23=0,0,ROUND(SUM(INDIRECT(U23):INDIRECT(V23)),0))</f>
        <v>699422</v>
      </c>
      <c r="P23" s="123">
        <f t="shared" ca="1" si="6"/>
        <v>7</v>
      </c>
      <c r="Q23" s="1">
        <f t="shared" si="12"/>
        <v>90</v>
      </c>
      <c r="R23" s="1">
        <f t="shared" si="0"/>
        <v>101</v>
      </c>
      <c r="S23" s="1" t="str">
        <f t="shared" si="7"/>
        <v>f90</v>
      </c>
      <c r="T23" s="1" t="str">
        <f t="shared" si="7"/>
        <v>f101</v>
      </c>
      <c r="U23" s="1" t="str">
        <f t="shared" si="1"/>
        <v>G90</v>
      </c>
      <c r="V23" s="1" t="str">
        <f t="shared" si="1"/>
        <v>G101</v>
      </c>
    </row>
    <row r="24" spans="1:22">
      <c r="A24" s="335">
        <f t="shared" si="2"/>
        <v>7</v>
      </c>
      <c r="B24" s="340">
        <f t="shared" si="13"/>
        <v>46478</v>
      </c>
      <c r="C24" s="336">
        <f t="shared" ca="1" si="8"/>
        <v>17792526.210299999</v>
      </c>
      <c r="D24" s="335"/>
      <c r="E24" s="336">
        <f t="shared" si="9"/>
        <v>0</v>
      </c>
      <c r="F24" s="336">
        <f t="shared" ca="1" si="3"/>
        <v>-74135.525999999998</v>
      </c>
      <c r="G24" s="336">
        <f t="shared" ca="1" si="10"/>
        <v>74135.525999999998</v>
      </c>
      <c r="H24" s="336">
        <f t="shared" ca="1" si="11"/>
        <v>17866661.736299999</v>
      </c>
      <c r="I24" s="337">
        <f t="shared" ca="1" si="4"/>
        <v>-17866662</v>
      </c>
      <c r="J24" s="338">
        <v>8</v>
      </c>
      <c r="K24" s="122" cm="1">
        <f t="array" aca="1" ref="K24" ca="1">'Itemized Costs-HIDDEN'!M12-INDIRECT("'Sch3-Perf Period Cash Flow'!D"&amp;7&amp;"")</f>
        <v>1710246</v>
      </c>
      <c r="L24" s="469">
        <v>147252</v>
      </c>
      <c r="M24" s="122">
        <f t="shared" ca="1" si="5"/>
        <v>1562994</v>
      </c>
      <c r="N24" s="122">
        <f ca="1">ROUND(SUM(INDIRECT(S24):INDIRECT(T24)),0)</f>
        <v>906880</v>
      </c>
      <c r="O24" s="122">
        <f ca="1">IF(N24=0,0,ROUND(SUM(INDIRECT(U24):INDIRECT(V24)),0))</f>
        <v>656114</v>
      </c>
      <c r="P24" s="123">
        <f t="shared" ca="1" si="6"/>
        <v>8</v>
      </c>
      <c r="Q24" s="1">
        <f t="shared" si="12"/>
        <v>102</v>
      </c>
      <c r="R24" s="1">
        <f t="shared" si="0"/>
        <v>113</v>
      </c>
      <c r="S24" s="1" t="str">
        <f t="shared" si="7"/>
        <v>f102</v>
      </c>
      <c r="T24" s="1" t="str">
        <f t="shared" si="7"/>
        <v>f113</v>
      </c>
      <c r="U24" s="1" t="str">
        <f t="shared" si="1"/>
        <v>G102</v>
      </c>
      <c r="V24" s="1" t="str">
        <f t="shared" si="1"/>
        <v>G113</v>
      </c>
    </row>
    <row r="25" spans="1:22">
      <c r="A25" s="335">
        <f t="shared" si="2"/>
        <v>8</v>
      </c>
      <c r="B25" s="340">
        <f t="shared" si="13"/>
        <v>46508</v>
      </c>
      <c r="C25" s="336">
        <f t="shared" ca="1" si="8"/>
        <v>17866661.736299999</v>
      </c>
      <c r="D25" s="335"/>
      <c r="E25" s="336">
        <f t="shared" si="9"/>
        <v>0</v>
      </c>
      <c r="F25" s="336">
        <f t="shared" ca="1" si="3"/>
        <v>-74444.423999999999</v>
      </c>
      <c r="G25" s="336">
        <f t="shared" ca="1" si="10"/>
        <v>74444.423999999999</v>
      </c>
      <c r="H25" s="336">
        <f t="shared" ca="1" si="11"/>
        <v>17941106.160300002</v>
      </c>
      <c r="I25" s="337">
        <f t="shared" ca="1" si="4"/>
        <v>-17941106</v>
      </c>
      <c r="J25" s="338">
        <v>9</v>
      </c>
      <c r="K25" s="122" cm="1">
        <f t="array" aca="1" ref="K25" ca="1">'Itemized Costs-HIDDEN'!M13-INDIRECT("'Sch3-Perf Period Cash Flow'!D"&amp;7&amp;"")</f>
        <v>1745709</v>
      </c>
      <c r="L25" s="469">
        <v>150639</v>
      </c>
      <c r="M25" s="122">
        <f t="shared" ca="1" si="5"/>
        <v>1595070</v>
      </c>
      <c r="N25" s="122">
        <f ca="1">ROUND(SUM(INDIRECT(S25):INDIRECT(T25)),0)</f>
        <v>986099</v>
      </c>
      <c r="O25" s="122">
        <f ca="1">IF(N25=0,0,ROUND(SUM(INDIRECT(U25):INDIRECT(V25)),0))</f>
        <v>608971</v>
      </c>
      <c r="P25" s="123">
        <f t="shared" ca="1" si="6"/>
        <v>9</v>
      </c>
      <c r="Q25" s="1">
        <f t="shared" si="12"/>
        <v>114</v>
      </c>
      <c r="R25" s="1">
        <f t="shared" si="0"/>
        <v>125</v>
      </c>
      <c r="S25" s="1" t="str">
        <f t="shared" si="7"/>
        <v>f114</v>
      </c>
      <c r="T25" s="1" t="str">
        <f t="shared" si="7"/>
        <v>f125</v>
      </c>
      <c r="U25" s="1" t="str">
        <f t="shared" si="1"/>
        <v>G114</v>
      </c>
      <c r="V25" s="1" t="str">
        <f t="shared" si="1"/>
        <v>G125</v>
      </c>
    </row>
    <row r="26" spans="1:22">
      <c r="A26" s="335">
        <f t="shared" si="2"/>
        <v>9</v>
      </c>
      <c r="B26" s="340">
        <f t="shared" si="13"/>
        <v>46539</v>
      </c>
      <c r="C26" s="336">
        <f t="shared" ca="1" si="8"/>
        <v>17941106.160300002</v>
      </c>
      <c r="D26" s="335"/>
      <c r="E26" s="336">
        <f t="shared" ca="1" si="9"/>
        <v>339957</v>
      </c>
      <c r="F26" s="336">
        <f t="shared" ca="1" si="3"/>
        <v>266618.87800000003</v>
      </c>
      <c r="G26" s="336">
        <f t="shared" ca="1" si="10"/>
        <v>73338.122000000003</v>
      </c>
      <c r="H26" s="336">
        <f t="shared" ca="1" si="11"/>
        <v>17674487.282299999</v>
      </c>
      <c r="I26" s="337">
        <f t="shared" ca="1" si="4"/>
        <v>-17674487</v>
      </c>
      <c r="J26" s="338">
        <v>10</v>
      </c>
      <c r="K26" s="122" cm="1">
        <f t="array" aca="1" ref="K26" ca="1">'Itemized Costs-HIDDEN'!M14-INDIRECT("'Sch3-Perf Period Cash Flow'!D"&amp;7&amp;"")</f>
        <v>1782085</v>
      </c>
      <c r="L26" s="469">
        <v>154103</v>
      </c>
      <c r="M26" s="122">
        <f t="shared" ca="1" si="5"/>
        <v>1627982</v>
      </c>
      <c r="N26" s="122">
        <f ca="1">ROUND(SUM(INDIRECT(S26):INDIRECT(T26)),0)</f>
        <v>1070227</v>
      </c>
      <c r="O26" s="122">
        <f ca="1">IF(N26=0,0,ROUND(SUM(INDIRECT(U26):INDIRECT(V26)),0))</f>
        <v>557755</v>
      </c>
      <c r="P26" s="123">
        <f t="shared" ca="1" si="6"/>
        <v>10</v>
      </c>
      <c r="Q26" s="1">
        <f t="shared" si="12"/>
        <v>126</v>
      </c>
      <c r="R26" s="1">
        <f t="shared" si="0"/>
        <v>137</v>
      </c>
      <c r="S26" s="1" t="str">
        <f t="shared" si="7"/>
        <v>f126</v>
      </c>
      <c r="T26" s="1" t="str">
        <f t="shared" si="7"/>
        <v>f137</v>
      </c>
      <c r="U26" s="1" t="str">
        <f t="shared" si="1"/>
        <v>G126</v>
      </c>
      <c r="V26" s="1" t="str">
        <f t="shared" si="1"/>
        <v>G137</v>
      </c>
    </row>
    <row r="27" spans="1:22">
      <c r="A27" s="335">
        <f t="shared" si="2"/>
        <v>10</v>
      </c>
      <c r="B27" s="340">
        <f t="shared" si="13"/>
        <v>46569</v>
      </c>
      <c r="C27" s="336">
        <f t="shared" ca="1" si="8"/>
        <v>17674487.282299999</v>
      </c>
      <c r="D27" s="335"/>
      <c r="E27" s="336">
        <f t="shared" si="9"/>
        <v>0</v>
      </c>
      <c r="F27" s="336">
        <f t="shared" ca="1" si="3"/>
        <v>-73643.697</v>
      </c>
      <c r="G27" s="336">
        <f t="shared" ca="1" si="10"/>
        <v>73643.697</v>
      </c>
      <c r="H27" s="336">
        <f t="shared" ca="1" si="11"/>
        <v>17748130.9793</v>
      </c>
      <c r="I27" s="337">
        <f t="shared" ca="1" si="4"/>
        <v>-17748131</v>
      </c>
      <c r="J27" s="338">
        <v>11</v>
      </c>
      <c r="K27" s="122" cm="1">
        <f t="array" aca="1" ref="K27" ca="1">'Itemized Costs-HIDDEN'!M15-INDIRECT("'Sch3-Perf Period Cash Flow'!D"&amp;7&amp;"")</f>
        <v>1819401</v>
      </c>
      <c r="L27" s="469">
        <v>157647</v>
      </c>
      <c r="M27" s="122">
        <f t="shared" ca="1" si="5"/>
        <v>1661754</v>
      </c>
      <c r="N27" s="122">
        <f ca="1">ROUND(SUM(INDIRECT(S27):INDIRECT(T27)),0)</f>
        <v>1159538</v>
      </c>
      <c r="O27" s="122">
        <f ca="1">IF(N27=0,0,ROUND(SUM(INDIRECT(U27):INDIRECT(V27)),0))</f>
        <v>502216</v>
      </c>
      <c r="P27" s="123">
        <f t="shared" ca="1" si="6"/>
        <v>11</v>
      </c>
      <c r="Q27" s="1">
        <f t="shared" si="12"/>
        <v>138</v>
      </c>
      <c r="R27" s="1">
        <f t="shared" si="0"/>
        <v>149</v>
      </c>
      <c r="S27" s="1" t="str">
        <f t="shared" si="7"/>
        <v>f138</v>
      </c>
      <c r="T27" s="1" t="str">
        <f t="shared" si="7"/>
        <v>f149</v>
      </c>
      <c r="U27" s="1" t="str">
        <f t="shared" si="1"/>
        <v>G138</v>
      </c>
      <c r="V27" s="1" t="str">
        <f t="shared" si="1"/>
        <v>G149</v>
      </c>
    </row>
    <row r="28" spans="1:22">
      <c r="A28" s="335">
        <f t="shared" si="2"/>
        <v>11</v>
      </c>
      <c r="B28" s="340">
        <f t="shared" si="13"/>
        <v>46600</v>
      </c>
      <c r="C28" s="336">
        <f t="shared" ca="1" si="8"/>
        <v>17748130.9793</v>
      </c>
      <c r="D28" s="335"/>
      <c r="E28" s="336">
        <f t="shared" si="9"/>
        <v>0</v>
      </c>
      <c r="F28" s="336">
        <f t="shared" ca="1" si="3"/>
        <v>-73950.546000000002</v>
      </c>
      <c r="G28" s="336">
        <f t="shared" ca="1" si="10"/>
        <v>73950.546000000002</v>
      </c>
      <c r="H28" s="336">
        <f ca="1">IF(E28="","",ROUND(H27-F28,4))</f>
        <v>17822081.5253</v>
      </c>
      <c r="I28" s="337">
        <f t="shared" ca="1" si="4"/>
        <v>-17822082</v>
      </c>
      <c r="J28" s="338">
        <v>12</v>
      </c>
      <c r="K28" s="122" cm="1">
        <f t="array" aca="1" ref="K28" ca="1">'Itemized Costs-HIDDEN'!M16-INDIRECT("'Sch3-Perf Period Cash Flow'!D"&amp;7&amp;"")</f>
        <v>1857686</v>
      </c>
      <c r="L28" s="469">
        <v>161274</v>
      </c>
      <c r="M28" s="122">
        <f t="shared" ca="1" si="5"/>
        <v>1696412</v>
      </c>
      <c r="N28" s="122">
        <f ca="1">ROUND(SUM(INDIRECT(S28):INDIRECT(T28)),0)</f>
        <v>1254325</v>
      </c>
      <c r="O28" s="122">
        <f ca="1">IF(N28=0,0,ROUND(SUM(INDIRECT(U28):INDIRECT(V28)),0))</f>
        <v>442087</v>
      </c>
      <c r="P28" s="123">
        <f t="shared" ca="1" si="6"/>
        <v>12</v>
      </c>
      <c r="Q28" s="1">
        <f t="shared" si="12"/>
        <v>150</v>
      </c>
      <c r="R28" s="1">
        <f t="shared" si="0"/>
        <v>161</v>
      </c>
      <c r="S28" s="1" t="str">
        <f t="shared" si="7"/>
        <v>f150</v>
      </c>
      <c r="T28" s="1" t="str">
        <f t="shared" si="7"/>
        <v>f161</v>
      </c>
      <c r="U28" s="1" t="str">
        <f t="shared" si="1"/>
        <v>G150</v>
      </c>
      <c r="V28" s="1" t="str">
        <f t="shared" si="1"/>
        <v>G161</v>
      </c>
    </row>
    <row r="29" spans="1:22">
      <c r="A29" s="335">
        <f t="shared" si="2"/>
        <v>12</v>
      </c>
      <c r="B29" s="340">
        <f t="shared" si="13"/>
        <v>46631</v>
      </c>
      <c r="C29" s="336">
        <f t="shared" ca="1" si="8"/>
        <v>17822081.5253</v>
      </c>
      <c r="D29" s="336">
        <f ca="1">IF(H29&lt;0,0,0.25*(K18-L18))</f>
        <v>346679.25</v>
      </c>
      <c r="E29" s="336">
        <f t="shared" ca="1" si="9"/>
        <v>339957</v>
      </c>
      <c r="F29" s="336">
        <f ca="1">IF(E29="","",E29-G29)</f>
        <v>267114.81400000001</v>
      </c>
      <c r="G29" s="336">
        <f ca="1">ROUND((C29-E29)*$D$5,3)</f>
        <v>72842.186000000002</v>
      </c>
      <c r="H29" s="336">
        <f ca="1">IF(E29="","",ROUND(H28-F29,4))</f>
        <v>17554966.711300001</v>
      </c>
      <c r="I29" s="337">
        <f t="shared" ca="1" si="4"/>
        <v>-17208287</v>
      </c>
      <c r="J29" s="338">
        <v>13</v>
      </c>
      <c r="K29" s="122" cm="1">
        <f t="array" aca="1" ref="K29" ca="1">'Itemized Costs-HIDDEN'!M17-INDIRECT("'Sch3-Perf Period Cash Flow'!D"&amp;7&amp;"")</f>
        <v>1896968</v>
      </c>
      <c r="L29" s="469">
        <v>164983</v>
      </c>
      <c r="M29" s="122">
        <f t="shared" ca="1" si="5"/>
        <v>1731985</v>
      </c>
      <c r="N29" s="122">
        <f ca="1">ROUND(SUM(INDIRECT(S29):INDIRECT(T29)),0)</f>
        <v>1354898</v>
      </c>
      <c r="O29" s="122">
        <f ca="1">IF(N29=0,0,ROUND(SUM(INDIRECT(U29):INDIRECT(V29)),0))</f>
        <v>377087</v>
      </c>
      <c r="P29" s="123">
        <f t="shared" ca="1" si="6"/>
        <v>13</v>
      </c>
      <c r="Q29" s="1">
        <f t="shared" si="12"/>
        <v>162</v>
      </c>
      <c r="R29" s="1">
        <f t="shared" si="0"/>
        <v>173</v>
      </c>
      <c r="S29" s="1" t="str">
        <f t="shared" si="7"/>
        <v>f162</v>
      </c>
      <c r="T29" s="1" t="str">
        <f t="shared" si="7"/>
        <v>f173</v>
      </c>
      <c r="U29" s="1" t="str">
        <f t="shared" si="1"/>
        <v>G162</v>
      </c>
      <c r="V29" s="1" t="str">
        <f t="shared" si="1"/>
        <v>G173</v>
      </c>
    </row>
    <row r="30" spans="1:22">
      <c r="A30" s="335">
        <f t="shared" si="2"/>
        <v>13</v>
      </c>
      <c r="B30" s="340">
        <f t="shared" si="13"/>
        <v>46661</v>
      </c>
      <c r="C30" s="336">
        <f t="shared" ca="1" si="8"/>
        <v>17554966.711300001</v>
      </c>
      <c r="D30" s="335"/>
      <c r="E30" s="336">
        <f t="shared" ref="E30:E41" si="14">IF($D$10=1,
 IF(OR(MONTH(B30)=MONTH(EDATE($D$7,0)),MONTH(B30)=MONTH(EDATE($D$7,3)),MONTH(B30)=MONTH(EDATE($D$7,6)),MONTH(B30)=MONTH(EDATE($D$7,9))),(MIN($D$29,H29)),0),
IF($D$10=0,
 IF(OR(MONTH(B30)=MONTH(EDATE($D$7,2)),MONTH(B30)=MONTH(EDATE($D$7,5)),MONTH(B30)=MONTH(EDATE($D$7,8)),MONTH(B30)=MONTH(EDATE($D$7,11))),(MIN($D$29,H29)),0)))</f>
        <v>0</v>
      </c>
      <c r="F30" s="336">
        <f t="shared" ca="1" si="3"/>
        <v>-73145.695000000007</v>
      </c>
      <c r="G30" s="336">
        <f t="shared" ca="1" si="10"/>
        <v>73145.695000000007</v>
      </c>
      <c r="H30" s="336">
        <f t="shared" ca="1" si="11"/>
        <v>17628112.406300001</v>
      </c>
      <c r="I30" s="337">
        <f t="shared" ca="1" si="4"/>
        <v>-17628112</v>
      </c>
      <c r="J30" s="338">
        <v>14</v>
      </c>
      <c r="K30" s="122" cm="1">
        <f t="array" aca="1" ref="K30" ca="1">'Itemized Costs-HIDDEN'!M18-INDIRECT("'Sch3-Perf Period Cash Flow'!D"&amp;7&amp;"")</f>
        <v>1937280</v>
      </c>
      <c r="L30" s="469">
        <v>168778</v>
      </c>
      <c r="M30" s="122">
        <f t="shared" ca="1" si="5"/>
        <v>1768502</v>
      </c>
      <c r="N30" s="122">
        <f ca="1">ROUND(SUM(INDIRECT(S30):INDIRECT(T30)),0)</f>
        <v>1461583</v>
      </c>
      <c r="O30" s="122">
        <f ca="1">IF(N30=0,0,ROUND(SUM(INDIRECT(U30):INDIRECT(V30)),0))</f>
        <v>306919</v>
      </c>
      <c r="P30" s="123">
        <f t="shared" ca="1" si="6"/>
        <v>14</v>
      </c>
      <c r="Q30" s="1">
        <f t="shared" si="12"/>
        <v>174</v>
      </c>
      <c r="R30" s="1">
        <f t="shared" si="0"/>
        <v>185</v>
      </c>
      <c r="S30" s="1" t="str">
        <f t="shared" si="7"/>
        <v>f174</v>
      </c>
      <c r="T30" s="1" t="str">
        <f t="shared" si="7"/>
        <v>f185</v>
      </c>
      <c r="U30" s="1" t="str">
        <f t="shared" si="1"/>
        <v>G174</v>
      </c>
      <c r="V30" s="1" t="str">
        <f t="shared" si="1"/>
        <v>G185</v>
      </c>
    </row>
    <row r="31" spans="1:22">
      <c r="A31" s="335">
        <f t="shared" si="2"/>
        <v>14</v>
      </c>
      <c r="B31" s="340">
        <f t="shared" si="13"/>
        <v>46692</v>
      </c>
      <c r="C31" s="336">
        <f t="shared" ca="1" si="8"/>
        <v>17628112.406300001</v>
      </c>
      <c r="D31" s="335"/>
      <c r="E31" s="336">
        <f t="shared" si="14"/>
        <v>0</v>
      </c>
      <c r="F31" s="336">
        <f t="shared" ca="1" si="3"/>
        <v>-73450.467999999993</v>
      </c>
      <c r="G31" s="336">
        <f t="shared" ca="1" si="10"/>
        <v>73450.467999999993</v>
      </c>
      <c r="H31" s="336">
        <f t="shared" ca="1" si="11"/>
        <v>17701562.874299999</v>
      </c>
      <c r="I31" s="337">
        <f t="shared" ca="1" si="4"/>
        <v>-17701563</v>
      </c>
      <c r="J31" s="338">
        <v>15</v>
      </c>
      <c r="K31" s="122" cm="1">
        <f t="array" aca="1" ref="K31" ca="1">'Itemized Costs-HIDDEN'!M19-INDIRECT("'Sch3-Perf Period Cash Flow'!D"&amp;7&amp;"")</f>
        <v>1978652</v>
      </c>
      <c r="L31" s="469">
        <v>172659</v>
      </c>
      <c r="M31" s="122">
        <f t="shared" ca="1" si="5"/>
        <v>1805993</v>
      </c>
      <c r="N31" s="122">
        <f ca="1">ROUND(SUM(INDIRECT(S31):INDIRECT(T31)),0)</f>
        <v>1574722</v>
      </c>
      <c r="O31" s="122">
        <f ca="1">IF(N31=0,0,ROUND(SUM(INDIRECT(U31):INDIRECT(V31)),0))</f>
        <v>231271</v>
      </c>
      <c r="P31" s="123">
        <f t="shared" ca="1" si="6"/>
        <v>15</v>
      </c>
      <c r="Q31" s="1">
        <f t="shared" si="12"/>
        <v>186</v>
      </c>
      <c r="R31" s="1">
        <f t="shared" si="0"/>
        <v>197</v>
      </c>
      <c r="S31" s="1" t="str">
        <f t="shared" si="7"/>
        <v>f186</v>
      </c>
      <c r="T31" s="1" t="str">
        <f t="shared" si="7"/>
        <v>f197</v>
      </c>
      <c r="U31" s="1" t="str">
        <f t="shared" si="1"/>
        <v>G186</v>
      </c>
      <c r="V31" s="1" t="str">
        <f t="shared" si="1"/>
        <v>G197</v>
      </c>
    </row>
    <row r="32" spans="1:22">
      <c r="A32" s="335">
        <f t="shared" si="2"/>
        <v>15</v>
      </c>
      <c r="B32" s="340">
        <f t="shared" si="13"/>
        <v>46722</v>
      </c>
      <c r="C32" s="336">
        <f t="shared" ca="1" si="8"/>
        <v>17701562.874299999</v>
      </c>
      <c r="D32" s="335"/>
      <c r="E32" s="336">
        <f t="shared" ca="1" si="14"/>
        <v>346679.25</v>
      </c>
      <c r="F32" s="336">
        <f t="shared" ca="1" si="3"/>
        <v>274367.23499999999</v>
      </c>
      <c r="G32" s="336">
        <f t="shared" ca="1" si="10"/>
        <v>72312.014999999999</v>
      </c>
      <c r="H32" s="336">
        <f t="shared" ca="1" si="11"/>
        <v>17427195.6393</v>
      </c>
      <c r="I32" s="337">
        <f t="shared" ca="1" si="4"/>
        <v>-17427196</v>
      </c>
      <c r="J32" s="338">
        <v>16</v>
      </c>
      <c r="K32" s="122" cm="1">
        <f t="array" aca="1" ref="K32" ca="1">'Itemized Costs-HIDDEN'!M20-INDIRECT("'Sch3-Perf Period Cash Flow'!D"&amp;7&amp;"")</f>
        <v>2021116</v>
      </c>
      <c r="L32" s="469">
        <v>176631</v>
      </c>
      <c r="M32" s="122">
        <f t="shared" ca="1" si="5"/>
        <v>1844485</v>
      </c>
      <c r="N32" s="122">
        <f ca="1">ROUND(SUM(INDIRECT(S32):INDIRECT(T32)),0)</f>
        <v>1694674</v>
      </c>
      <c r="O32" s="122">
        <f ca="1">IF(N32=0,0,ROUND(SUM(INDIRECT(U32):INDIRECT(V32)),0))</f>
        <v>149811</v>
      </c>
      <c r="P32" s="123">
        <f t="shared" ca="1" si="6"/>
        <v>16</v>
      </c>
      <c r="Q32" s="1">
        <f t="shared" si="12"/>
        <v>198</v>
      </c>
      <c r="R32" s="1">
        <f t="shared" si="0"/>
        <v>209</v>
      </c>
      <c r="S32" s="1" t="str">
        <f t="shared" si="7"/>
        <v>f198</v>
      </c>
      <c r="T32" s="1" t="str">
        <f t="shared" si="7"/>
        <v>f209</v>
      </c>
      <c r="U32" s="1" t="str">
        <f t="shared" si="1"/>
        <v>G198</v>
      </c>
      <c r="V32" s="1" t="str">
        <f t="shared" si="1"/>
        <v>G209</v>
      </c>
    </row>
    <row r="33" spans="1:22">
      <c r="A33" s="335">
        <f t="shared" si="2"/>
        <v>16</v>
      </c>
      <c r="B33" s="340">
        <f t="shared" si="13"/>
        <v>46753</v>
      </c>
      <c r="C33" s="336">
        <f t="shared" ca="1" si="8"/>
        <v>17427195.6393</v>
      </c>
      <c r="D33" s="335"/>
      <c r="E33" s="336">
        <f t="shared" si="14"/>
        <v>0</v>
      </c>
      <c r="F33" s="336">
        <f t="shared" ca="1" si="3"/>
        <v>-72613.315000000002</v>
      </c>
      <c r="G33" s="336">
        <f t="shared" ca="1" si="10"/>
        <v>72613.315000000002</v>
      </c>
      <c r="H33" s="336">
        <f t="shared" ca="1" si="11"/>
        <v>17499808.954300001</v>
      </c>
      <c r="I33" s="337">
        <f t="shared" ca="1" si="4"/>
        <v>-17499809</v>
      </c>
      <c r="J33" s="338">
        <v>17</v>
      </c>
      <c r="K33" s="122" cm="1">
        <f t="array" aca="1" ref="K33" ca="1">'Itemized Costs-HIDDEN'!M21-INDIRECT("'Sch3-Perf Period Cash Flow'!D"&amp;7&amp;"")</f>
        <v>2064707</v>
      </c>
      <c r="L33" s="469">
        <v>180694</v>
      </c>
      <c r="M33" s="122">
        <f t="shared" ca="1" si="5"/>
        <v>1884013</v>
      </c>
      <c r="N33" s="122">
        <f ca="1">ROUND(SUM(INDIRECT(S33):INDIRECT(T33)),0)</f>
        <v>1821823</v>
      </c>
      <c r="O33" s="122">
        <f ca="1">IF(N33=0,0,ROUND(SUM(INDIRECT(U33):INDIRECT(V33)),0))</f>
        <v>62190</v>
      </c>
      <c r="P33" s="123">
        <f t="shared" ca="1" si="6"/>
        <v>17</v>
      </c>
      <c r="Q33" s="1">
        <f t="shared" si="12"/>
        <v>210</v>
      </c>
      <c r="R33" s="1">
        <f t="shared" si="0"/>
        <v>221</v>
      </c>
      <c r="S33" s="1" t="str">
        <f t="shared" si="7"/>
        <v>f210</v>
      </c>
      <c r="T33" s="1" t="str">
        <f t="shared" si="7"/>
        <v>f221</v>
      </c>
      <c r="U33" s="1" t="str">
        <f t="shared" ref="U33:V40" si="15">CONCATENATE("G",Q33)</f>
        <v>G210</v>
      </c>
      <c r="V33" s="1" t="str">
        <f t="shared" si="15"/>
        <v>G221</v>
      </c>
    </row>
    <row r="34" spans="1:22">
      <c r="A34" s="335">
        <f t="shared" si="2"/>
        <v>17</v>
      </c>
      <c r="B34" s="340">
        <f t="shared" si="13"/>
        <v>46784</v>
      </c>
      <c r="C34" s="336">
        <f t="shared" ca="1" si="8"/>
        <v>17499808.954300001</v>
      </c>
      <c r="D34" s="335"/>
      <c r="E34" s="336">
        <f t="shared" si="14"/>
        <v>0</v>
      </c>
      <c r="F34" s="336">
        <f t="shared" ca="1" si="3"/>
        <v>-72915.870999999999</v>
      </c>
      <c r="G34" s="336">
        <f t="shared" ca="1" si="10"/>
        <v>72915.870999999999</v>
      </c>
      <c r="H34" s="336">
        <f t="shared" ca="1" si="11"/>
        <v>17572724.825300001</v>
      </c>
      <c r="I34" s="337">
        <f t="shared" ca="1" si="4"/>
        <v>-17572725</v>
      </c>
      <c r="J34" s="338">
        <v>18</v>
      </c>
      <c r="K34" s="122" cm="1">
        <f t="array" aca="1" ref="K34" ca="1">'Itemized Costs-HIDDEN'!M22-INDIRECT("'Sch3-Perf Period Cash Flow'!D"&amp;7&amp;"")</f>
        <v>2109459</v>
      </c>
      <c r="L34" s="469">
        <v>184850</v>
      </c>
      <c r="M34" s="122">
        <f t="shared" ca="1" si="5"/>
        <v>251312</v>
      </c>
      <c r="N34" s="122">
        <f ca="1">ROUND(SUM(INDIRECT(S34):INDIRECT(T34)),0)</f>
        <v>249231</v>
      </c>
      <c r="O34" s="122">
        <f ca="1">IF(N34=0,0,ROUND(SUM(INDIRECT(U34):INDIRECT(V34)),0))</f>
        <v>2081</v>
      </c>
      <c r="P34" s="123">
        <f t="shared" ca="1" si="6"/>
        <v>18</v>
      </c>
      <c r="Q34" s="1">
        <f t="shared" si="12"/>
        <v>222</v>
      </c>
      <c r="R34" s="1">
        <f t="shared" si="0"/>
        <v>233</v>
      </c>
      <c r="S34" s="1" t="str">
        <f t="shared" si="7"/>
        <v>f222</v>
      </c>
      <c r="T34" s="1" t="str">
        <f t="shared" si="7"/>
        <v>f233</v>
      </c>
      <c r="U34" s="1" t="str">
        <f t="shared" si="15"/>
        <v>G222</v>
      </c>
      <c r="V34" s="1" t="str">
        <f t="shared" si="15"/>
        <v>G233</v>
      </c>
    </row>
    <row r="35" spans="1:22">
      <c r="A35" s="335">
        <f t="shared" si="2"/>
        <v>18</v>
      </c>
      <c r="B35" s="340">
        <f t="shared" si="13"/>
        <v>46813</v>
      </c>
      <c r="C35" s="336">
        <f t="shared" ca="1" si="8"/>
        <v>17572724.825300001</v>
      </c>
      <c r="D35" s="335"/>
      <c r="E35" s="336">
        <f t="shared" ca="1" si="14"/>
        <v>346679.25</v>
      </c>
      <c r="F35" s="336">
        <f t="shared" ca="1" si="3"/>
        <v>274904.06</v>
      </c>
      <c r="G35" s="336">
        <f t="shared" ca="1" si="10"/>
        <v>71775.19</v>
      </c>
      <c r="H35" s="336">
        <f t="shared" ca="1" si="11"/>
        <v>17297820.765299998</v>
      </c>
      <c r="I35" s="337">
        <f t="shared" ca="1" si="4"/>
        <v>-17297821</v>
      </c>
      <c r="J35" s="338">
        <v>19</v>
      </c>
      <c r="K35" s="122" cm="1">
        <f t="array" aca="1" ref="K35" ca="1">'Itemized Costs-HIDDEN'!M23-INDIRECT("'Sch3-Perf Period Cash Flow'!D"&amp;7&amp;"")</f>
        <v>2155408</v>
      </c>
      <c r="L35" s="469">
        <v>189101</v>
      </c>
      <c r="M35" s="122">
        <f t="shared" ca="1" si="5"/>
        <v>0</v>
      </c>
      <c r="N35" s="122">
        <f ca="1">ROUND(SUM(INDIRECT(S35):INDIRECT(T35)),0)</f>
        <v>0</v>
      </c>
      <c r="O35" s="122">
        <f ca="1">IF(N35=0,0,ROUND(SUM(INDIRECT(U35):INDIRECT(V35)),0))</f>
        <v>0</v>
      </c>
      <c r="P35" s="123" t="str">
        <f t="shared" ca="1" si="6"/>
        <v/>
      </c>
      <c r="Q35" s="1">
        <f t="shared" si="12"/>
        <v>234</v>
      </c>
      <c r="R35" s="1">
        <f>Q35+11</f>
        <v>245</v>
      </c>
      <c r="S35" s="1" t="str">
        <f t="shared" si="7"/>
        <v>f234</v>
      </c>
      <c r="T35" s="1" t="str">
        <f t="shared" si="7"/>
        <v>f245</v>
      </c>
      <c r="U35" s="1" t="str">
        <f t="shared" si="15"/>
        <v>G234</v>
      </c>
      <c r="V35" s="1" t="str">
        <f t="shared" si="15"/>
        <v>G245</v>
      </c>
    </row>
    <row r="36" spans="1:22">
      <c r="A36" s="335">
        <f t="shared" si="2"/>
        <v>19</v>
      </c>
      <c r="B36" s="340">
        <f t="shared" si="13"/>
        <v>46844</v>
      </c>
      <c r="C36" s="336">
        <f t="shared" ca="1" si="8"/>
        <v>17297820.765299998</v>
      </c>
      <c r="D36" s="335"/>
      <c r="E36" s="336">
        <f t="shared" si="14"/>
        <v>0</v>
      </c>
      <c r="F36" s="336">
        <f t="shared" ca="1" si="3"/>
        <v>-72074.252999999997</v>
      </c>
      <c r="G36" s="336">
        <f t="shared" ca="1" si="10"/>
        <v>72074.252999999997</v>
      </c>
      <c r="H36" s="336">
        <f t="shared" ca="1" si="11"/>
        <v>17369895.018300001</v>
      </c>
      <c r="I36" s="337">
        <f t="shared" ca="1" si="4"/>
        <v>-17369895</v>
      </c>
      <c r="J36" s="338">
        <v>20</v>
      </c>
      <c r="K36" s="122" cm="1">
        <f t="array" aca="1" ref="K36" ca="1">'Itemized Costs-HIDDEN'!M24-INDIRECT("'Sch3-Perf Period Cash Flow'!D"&amp;7&amp;"")</f>
        <v>2202592</v>
      </c>
      <c r="L36" s="469">
        <v>193450</v>
      </c>
      <c r="M36" s="122">
        <f t="shared" ca="1" si="5"/>
        <v>0</v>
      </c>
      <c r="N36" s="122">
        <f ca="1">ROUND(SUM(INDIRECT(S36):INDIRECT(T36)),0)</f>
        <v>0</v>
      </c>
      <c r="O36" s="122">
        <f ca="1">IF(N36=0,0,ROUND(SUM(INDIRECT(U36):INDIRECT(V36)),0))</f>
        <v>0</v>
      </c>
      <c r="P36" s="123" t="str">
        <f t="shared" ca="1" si="6"/>
        <v/>
      </c>
      <c r="Q36" s="1">
        <f t="shared" si="12"/>
        <v>246</v>
      </c>
      <c r="R36" s="1">
        <f t="shared" ref="R36:R56" si="16">Q36+11</f>
        <v>257</v>
      </c>
      <c r="S36" s="1" t="str">
        <f t="shared" si="7"/>
        <v>f246</v>
      </c>
      <c r="T36" s="1" t="str">
        <f t="shared" si="7"/>
        <v>f257</v>
      </c>
      <c r="U36" s="1" t="str">
        <f t="shared" si="15"/>
        <v>G246</v>
      </c>
      <c r="V36" s="1" t="str">
        <f t="shared" si="15"/>
        <v>G257</v>
      </c>
    </row>
    <row r="37" spans="1:22">
      <c r="A37" s="335">
        <f t="shared" si="2"/>
        <v>20</v>
      </c>
      <c r="B37" s="340">
        <f t="shared" si="13"/>
        <v>46874</v>
      </c>
      <c r="C37" s="336">
        <f t="shared" ca="1" si="8"/>
        <v>17369895.018300001</v>
      </c>
      <c r="D37" s="335"/>
      <c r="E37" s="336">
        <f t="shared" si="14"/>
        <v>0</v>
      </c>
      <c r="F37" s="336">
        <f t="shared" ca="1" si="3"/>
        <v>-72374.562999999995</v>
      </c>
      <c r="G37" s="336">
        <f t="shared" ca="1" si="10"/>
        <v>72374.562999999995</v>
      </c>
      <c r="H37" s="336">
        <f t="shared" ca="1" si="11"/>
        <v>17442269.581300002</v>
      </c>
      <c r="I37" s="337">
        <f t="shared" ca="1" si="4"/>
        <v>-17442270</v>
      </c>
      <c r="J37" s="338">
        <v>21</v>
      </c>
      <c r="K37" s="122" cm="1">
        <f t="array" aca="1" ref="K37" ca="1">'Itemized Costs-HIDDEN'!M25-INDIRECT("'Sch3-Perf Period Cash Flow'!D"&amp;7&amp;"")</f>
        <v>2251048</v>
      </c>
      <c r="L37" s="469">
        <v>197900</v>
      </c>
      <c r="M37" s="122">
        <f t="shared" ca="1" si="5"/>
        <v>0</v>
      </c>
      <c r="N37" s="122">
        <f ca="1">ROUND(SUM(INDIRECT(S37):INDIRECT(T37)),0)</f>
        <v>0</v>
      </c>
      <c r="O37" s="122">
        <f ca="1">IF(N37=0,0,ROUND(SUM(INDIRECT(U37):INDIRECT(V37)),0))</f>
        <v>0</v>
      </c>
      <c r="P37" s="123" t="str">
        <f t="shared" ca="1" si="6"/>
        <v/>
      </c>
      <c r="Q37" s="1">
        <f t="shared" si="12"/>
        <v>258</v>
      </c>
      <c r="R37" s="1">
        <f t="shared" si="16"/>
        <v>269</v>
      </c>
      <c r="S37" s="1" t="str">
        <f t="shared" si="7"/>
        <v>f258</v>
      </c>
      <c r="T37" s="1" t="str">
        <f t="shared" si="7"/>
        <v>f269</v>
      </c>
      <c r="U37" s="1" t="str">
        <f t="shared" si="15"/>
        <v>G258</v>
      </c>
      <c r="V37" s="1" t="str">
        <f t="shared" si="15"/>
        <v>G269</v>
      </c>
    </row>
    <row r="38" spans="1:22">
      <c r="A38" s="335">
        <f t="shared" si="2"/>
        <v>21</v>
      </c>
      <c r="B38" s="340">
        <f t="shared" si="13"/>
        <v>46905</v>
      </c>
      <c r="C38" s="336">
        <f t="shared" ca="1" si="8"/>
        <v>17442269.581300002</v>
      </c>
      <c r="D38" s="335"/>
      <c r="E38" s="336">
        <f t="shared" ca="1" si="14"/>
        <v>346679.25</v>
      </c>
      <c r="F38" s="336">
        <f t="shared" ca="1" si="3"/>
        <v>275447.62400000001</v>
      </c>
      <c r="G38" s="336">
        <f t="shared" ca="1" si="10"/>
        <v>71231.626000000004</v>
      </c>
      <c r="H38" s="336">
        <f t="shared" ca="1" si="11"/>
        <v>17166821.9573</v>
      </c>
      <c r="I38" s="337">
        <f t="shared" ca="1" si="4"/>
        <v>-17166822</v>
      </c>
      <c r="J38" s="338">
        <v>22</v>
      </c>
      <c r="K38" s="122" cm="1">
        <f t="array" aca="1" ref="K38" ca="1">'Itemized Costs-HIDDEN'!M26-INDIRECT("'Sch3-Perf Period Cash Flow'!D"&amp;7&amp;"")</f>
        <v>2300817</v>
      </c>
      <c r="L38" s="469">
        <v>202451</v>
      </c>
      <c r="M38" s="122">
        <f t="shared" ca="1" si="5"/>
        <v>0</v>
      </c>
      <c r="N38" s="122">
        <f ca="1">ROUND(SUM(INDIRECT(S38):INDIRECT(T38)),0)</f>
        <v>0</v>
      </c>
      <c r="O38" s="122">
        <f ca="1">IF(N38=0,0,ROUND(SUM(INDIRECT(U38):INDIRECT(V38)),0))</f>
        <v>0</v>
      </c>
      <c r="P38" s="123" t="str">
        <f t="shared" ca="1" si="6"/>
        <v/>
      </c>
      <c r="Q38" s="1">
        <f t="shared" si="12"/>
        <v>270</v>
      </c>
      <c r="R38" s="1">
        <f t="shared" si="16"/>
        <v>281</v>
      </c>
      <c r="S38" s="1" t="str">
        <f t="shared" si="7"/>
        <v>f270</v>
      </c>
      <c r="T38" s="1" t="str">
        <f t="shared" si="7"/>
        <v>f281</v>
      </c>
      <c r="U38" s="1" t="str">
        <f t="shared" si="15"/>
        <v>G270</v>
      </c>
      <c r="V38" s="1" t="str">
        <f t="shared" si="15"/>
        <v>G281</v>
      </c>
    </row>
    <row r="39" spans="1:22">
      <c r="A39" s="335">
        <f t="shared" si="2"/>
        <v>22</v>
      </c>
      <c r="B39" s="340">
        <f t="shared" si="13"/>
        <v>46935</v>
      </c>
      <c r="C39" s="336">
        <f t="shared" ca="1" si="8"/>
        <v>17166821.9573</v>
      </c>
      <c r="D39" s="335"/>
      <c r="E39" s="336">
        <f t="shared" si="14"/>
        <v>0</v>
      </c>
      <c r="F39" s="336">
        <f t="shared" ca="1" si="3"/>
        <v>-71528.425000000003</v>
      </c>
      <c r="G39" s="336">
        <f t="shared" ca="1" si="10"/>
        <v>71528.425000000003</v>
      </c>
      <c r="H39" s="336">
        <f t="shared" ca="1" si="11"/>
        <v>17238350.382300001</v>
      </c>
      <c r="I39" s="337">
        <f t="shared" ca="1" si="4"/>
        <v>-17238350</v>
      </c>
      <c r="J39" s="338">
        <v>23</v>
      </c>
      <c r="K39" s="122" cm="1">
        <f t="array" aca="1" ref="K39" ca="1">'Itemized Costs-HIDDEN'!M27-INDIRECT("'Sch3-Perf Period Cash Flow'!D"&amp;7&amp;"")</f>
        <v>2351940</v>
      </c>
      <c r="L39" s="469">
        <v>207108</v>
      </c>
      <c r="M39" s="122">
        <f t="shared" ca="1" si="5"/>
        <v>0</v>
      </c>
      <c r="N39" s="122">
        <f ca="1">ROUND(SUM(INDIRECT(S39):INDIRECT(T39)),0)</f>
        <v>0</v>
      </c>
      <c r="O39" s="122">
        <f ca="1">IF(N39=0,0,ROUND(SUM(INDIRECT(U39):INDIRECT(V39)),0))</f>
        <v>0</v>
      </c>
      <c r="P39" s="123" t="str">
        <f t="shared" ca="1" si="6"/>
        <v/>
      </c>
      <c r="Q39" s="1">
        <f t="shared" si="12"/>
        <v>282</v>
      </c>
      <c r="R39" s="1">
        <f t="shared" si="16"/>
        <v>293</v>
      </c>
      <c r="S39" s="1" t="str">
        <f t="shared" si="7"/>
        <v>f282</v>
      </c>
      <c r="T39" s="1" t="str">
        <f t="shared" si="7"/>
        <v>f293</v>
      </c>
      <c r="U39" s="1" t="str">
        <f t="shared" si="15"/>
        <v>G282</v>
      </c>
      <c r="V39" s="1" t="str">
        <f t="shared" si="15"/>
        <v>G293</v>
      </c>
    </row>
    <row r="40" spans="1:22">
      <c r="A40" s="335">
        <f t="shared" si="2"/>
        <v>23</v>
      </c>
      <c r="B40" s="340">
        <f t="shared" si="13"/>
        <v>46966</v>
      </c>
      <c r="C40" s="336">
        <f t="shared" ca="1" si="8"/>
        <v>17238350.382300001</v>
      </c>
      <c r="D40" s="335"/>
      <c r="E40" s="336">
        <f t="shared" si="14"/>
        <v>0</v>
      </c>
      <c r="F40" s="336">
        <f t="shared" ca="1" si="3"/>
        <v>-71826.460000000006</v>
      </c>
      <c r="G40" s="336">
        <f t="shared" ca="1" si="10"/>
        <v>71826.460000000006</v>
      </c>
      <c r="H40" s="336">
        <f t="shared" ca="1" si="11"/>
        <v>17310176.842300002</v>
      </c>
      <c r="I40" s="337">
        <f t="shared" ca="1" si="4"/>
        <v>-17310177</v>
      </c>
      <c r="J40" s="338">
        <v>24</v>
      </c>
      <c r="K40" s="122" cm="1">
        <f t="array" aca="1" ref="K40" ca="1">'Itemized Costs-HIDDEN'!M28-INDIRECT("'Sch3-Perf Period Cash Flow'!D"&amp;7&amp;"")</f>
        <v>2404459</v>
      </c>
      <c r="L40" s="469">
        <v>211871</v>
      </c>
      <c r="M40" s="122">
        <f t="shared" ca="1" si="5"/>
        <v>0</v>
      </c>
      <c r="N40" s="122">
        <f ca="1">ROUND(SUM(INDIRECT(S40):INDIRECT(T40)),0)</f>
        <v>0</v>
      </c>
      <c r="O40" s="122">
        <f ca="1">IF(N40=0,0,ROUND(SUM(INDIRECT(U40):INDIRECT(V40)),0))</f>
        <v>0</v>
      </c>
      <c r="P40" s="123" t="str">
        <f t="shared" ca="1" si="6"/>
        <v/>
      </c>
      <c r="Q40" s="1">
        <f t="shared" si="12"/>
        <v>294</v>
      </c>
      <c r="R40" s="1">
        <f t="shared" si="16"/>
        <v>305</v>
      </c>
      <c r="S40" s="1" t="str">
        <f t="shared" si="7"/>
        <v>f294</v>
      </c>
      <c r="T40" s="1" t="str">
        <f t="shared" si="7"/>
        <v>f305</v>
      </c>
      <c r="U40" s="1" t="str">
        <f t="shared" si="15"/>
        <v>G294</v>
      </c>
      <c r="V40" s="1" t="str">
        <f t="shared" si="15"/>
        <v>G305</v>
      </c>
    </row>
    <row r="41" spans="1:22">
      <c r="A41" s="335">
        <f t="shared" si="2"/>
        <v>24</v>
      </c>
      <c r="B41" s="340">
        <f t="shared" si="13"/>
        <v>46997</v>
      </c>
      <c r="C41" s="336">
        <f t="shared" ca="1" si="8"/>
        <v>17310176.842300002</v>
      </c>
      <c r="D41" s="336">
        <f ca="1">IF(H41&lt;0,0,0.25*(K19-L19))</f>
        <v>353570.75</v>
      </c>
      <c r="E41" s="336">
        <f t="shared" ca="1" si="14"/>
        <v>346679.25</v>
      </c>
      <c r="F41" s="336">
        <f t="shared" ca="1" si="3"/>
        <v>275998.01</v>
      </c>
      <c r="G41" s="336">
        <f t="shared" ca="1" si="10"/>
        <v>70681.240000000005</v>
      </c>
      <c r="H41" s="336">
        <f t="shared" ca="1" si="11"/>
        <v>17034178.8323</v>
      </c>
      <c r="I41" s="337">
        <f t="shared" ca="1" si="4"/>
        <v>-16680608</v>
      </c>
      <c r="J41" s="338">
        <v>25</v>
      </c>
      <c r="K41" s="122" cm="1">
        <f t="array" aca="1" ref="K41" ca="1">'Itemized Costs-HIDDEN'!M29-INDIRECT("'Sch3-Perf Period Cash Flow'!D"&amp;7&amp;"")</f>
        <v>2458418</v>
      </c>
      <c r="L41" s="469">
        <v>216744</v>
      </c>
      <c r="M41" s="122">
        <f ca="1">N41+O41</f>
        <v>0</v>
      </c>
      <c r="N41" s="122">
        <f ca="1">ROUND(SUM(INDIRECT(S41):INDIRECT(T41)),0)</f>
        <v>0</v>
      </c>
      <c r="O41" s="122">
        <f ca="1">IF(N41=0,0,ROUND(SUM(INDIRECT(U41):INDIRECT(V41)),0))</f>
        <v>0</v>
      </c>
      <c r="P41" s="123" t="str">
        <f t="shared" ca="1" si="6"/>
        <v/>
      </c>
      <c r="Q41" s="1">
        <f t="shared" si="12"/>
        <v>306</v>
      </c>
      <c r="R41" s="1">
        <f t="shared" si="16"/>
        <v>317</v>
      </c>
      <c r="S41" s="1" t="str">
        <f t="shared" si="7"/>
        <v>f306</v>
      </c>
      <c r="T41" s="1" t="str">
        <f t="shared" si="7"/>
        <v>f317</v>
      </c>
      <c r="U41" s="1" t="str">
        <f>CONCATENATE("G",Q41)</f>
        <v>G306</v>
      </c>
      <c r="V41" s="1" t="str">
        <f>CONCATENATE("G",R41)</f>
        <v>G317</v>
      </c>
    </row>
    <row r="42" spans="1:22">
      <c r="A42" s="335">
        <f t="shared" si="2"/>
        <v>25</v>
      </c>
      <c r="B42" s="340">
        <f t="shared" si="13"/>
        <v>47027</v>
      </c>
      <c r="C42" s="336">
        <f t="shared" ca="1" si="8"/>
        <v>17034178.8323</v>
      </c>
      <c r="D42" s="336"/>
      <c r="E42" s="336">
        <f t="shared" ref="E42:E53" si="17">IF($D$10=1,
 IF(OR(MONTH(B42)=MONTH(EDATE($D$7,0)),MONTH(B42)=MONTH(EDATE($D$7,3)),MONTH(B42)=MONTH(EDATE($D$7,6)),MONTH(B42)=MONTH(EDATE($D$7,9))),(MIN($D$41,H41)),0),
IF($D$10=0,
 IF(OR(MONTH(B42)=MONTH(EDATE($D$7,2)),MONTH(B42)=MONTH(EDATE($D$7,5)),MONTH(B42)=MONTH(EDATE($D$7,8)),MONTH(B42)=MONTH(EDATE($D$7,11))),(MIN($D$41,H41)),0)))</f>
        <v>0</v>
      </c>
      <c r="F42" s="336">
        <f t="shared" ca="1" si="3"/>
        <v>-70975.744999999995</v>
      </c>
      <c r="G42" s="336">
        <f t="shared" ca="1" si="10"/>
        <v>70975.744999999995</v>
      </c>
      <c r="H42" s="336">
        <f t="shared" ca="1" si="11"/>
        <v>17105154.577300001</v>
      </c>
      <c r="I42" s="337">
        <f t="shared" ca="1" si="4"/>
        <v>-17105155</v>
      </c>
      <c r="J42" s="338">
        <v>26</v>
      </c>
      <c r="K42" s="122" cm="1">
        <f t="array" aca="1" ref="K42" ca="1">'Itemized Costs-HIDDEN'!M30-INDIRECT("'Sch3-Perf Period Cash Flow'!D"&amp;7&amp;"")</f>
        <v>2458418</v>
      </c>
      <c r="L42" s="122">
        <v>0</v>
      </c>
      <c r="M42" s="122">
        <f t="shared" ca="1" si="5"/>
        <v>0</v>
      </c>
      <c r="N42" s="122">
        <f ca="1">ROUND(SUM(INDIRECT(S42):INDIRECT(T42)),0)</f>
        <v>0</v>
      </c>
      <c r="O42" s="122">
        <f ca="1">IF(N42=0,0,ROUND(SUM(INDIRECT(U42):INDIRECT(V42)),0))</f>
        <v>0</v>
      </c>
      <c r="P42" s="123" t="str">
        <f t="shared" ca="1" si="6"/>
        <v/>
      </c>
      <c r="Q42" s="1">
        <f t="shared" si="12"/>
        <v>318</v>
      </c>
      <c r="R42" s="1">
        <f t="shared" si="16"/>
        <v>329</v>
      </c>
      <c r="S42" s="1" t="str">
        <f t="shared" si="7"/>
        <v>f318</v>
      </c>
      <c r="T42" s="1" t="str">
        <f t="shared" si="7"/>
        <v>f329</v>
      </c>
      <c r="U42" s="1" t="str">
        <f>CONCATENATE("G",Q42)</f>
        <v>G318</v>
      </c>
      <c r="V42" s="1" t="str">
        <f>CONCATENATE("G",R42)</f>
        <v>G329</v>
      </c>
    </row>
    <row r="43" spans="1:22">
      <c r="A43" s="335">
        <f t="shared" si="2"/>
        <v>26</v>
      </c>
      <c r="B43" s="340">
        <f t="shared" si="13"/>
        <v>47058</v>
      </c>
      <c r="C43" s="336">
        <f t="shared" ca="1" si="8"/>
        <v>17105154.577300001</v>
      </c>
      <c r="D43" s="335"/>
      <c r="E43" s="336">
        <f t="shared" si="17"/>
        <v>0</v>
      </c>
      <c r="F43" s="336">
        <f t="shared" ca="1" si="3"/>
        <v>-71271.476999999999</v>
      </c>
      <c r="G43" s="336">
        <f t="shared" ca="1" si="10"/>
        <v>71271.476999999999</v>
      </c>
      <c r="H43" s="336">
        <f t="shared" ca="1" si="11"/>
        <v>17176426.054299999</v>
      </c>
      <c r="I43" s="337">
        <f t="shared" ca="1" si="4"/>
        <v>-17176426</v>
      </c>
      <c r="J43" s="338">
        <v>27</v>
      </c>
      <c r="K43" s="122" cm="1">
        <f t="array" aca="1" ref="K43" ca="1">'Itemized Costs-HIDDEN'!M31-INDIRECT("'Sch3-Perf Period Cash Flow'!D"&amp;7&amp;"")</f>
        <v>2458418</v>
      </c>
      <c r="L43" s="122">
        <v>0</v>
      </c>
      <c r="M43" s="122">
        <f t="shared" ca="1" si="5"/>
        <v>0</v>
      </c>
      <c r="N43" s="122">
        <f ca="1">ROUND(SUM(INDIRECT(S43):INDIRECT(T43)),0)</f>
        <v>0</v>
      </c>
      <c r="O43" s="122">
        <f ca="1">IF(N43=0,0,ROUND(SUM(INDIRECT(U43):INDIRECT(V43)),0))</f>
        <v>0</v>
      </c>
      <c r="P43" s="123" t="str">
        <f t="shared" ca="1" si="6"/>
        <v/>
      </c>
      <c r="Q43" s="1">
        <f t="shared" si="12"/>
        <v>330</v>
      </c>
      <c r="R43" s="1">
        <f t="shared" si="16"/>
        <v>341</v>
      </c>
      <c r="S43" s="1" t="str">
        <f t="shared" si="7"/>
        <v>f330</v>
      </c>
      <c r="T43" s="1" t="str">
        <f t="shared" si="7"/>
        <v>f341</v>
      </c>
      <c r="U43" s="1" t="str">
        <f t="shared" ref="U43:V56" si="18">CONCATENATE("G",Q43)</f>
        <v>G330</v>
      </c>
      <c r="V43" s="1" t="str">
        <f t="shared" si="18"/>
        <v>G341</v>
      </c>
    </row>
    <row r="44" spans="1:22">
      <c r="A44" s="335">
        <f t="shared" si="2"/>
        <v>27</v>
      </c>
      <c r="B44" s="340">
        <f t="shared" si="13"/>
        <v>47088</v>
      </c>
      <c r="C44" s="336">
        <f t="shared" ca="1" si="8"/>
        <v>17176426.054299999</v>
      </c>
      <c r="D44" s="335"/>
      <c r="E44" s="336">
        <f t="shared" ca="1" si="17"/>
        <v>353570.75</v>
      </c>
      <c r="F44" s="336">
        <f t="shared" ca="1" si="3"/>
        <v>283475.52</v>
      </c>
      <c r="G44" s="336">
        <f t="shared" ca="1" si="10"/>
        <v>70095.23</v>
      </c>
      <c r="H44" s="336">
        <f t="shared" ca="1" si="11"/>
        <v>16892950.534299999</v>
      </c>
      <c r="I44" s="337">
        <f t="shared" ca="1" si="4"/>
        <v>-16892951</v>
      </c>
      <c r="J44" s="338">
        <v>28</v>
      </c>
      <c r="K44" s="122" cm="1">
        <f t="array" aca="1" ref="K44" ca="1">'Itemized Costs-HIDDEN'!M32-INDIRECT("'Sch3-Perf Period Cash Flow'!D"&amp;7&amp;"")</f>
        <v>2458418</v>
      </c>
      <c r="L44" s="122">
        <v>0</v>
      </c>
      <c r="M44" s="122">
        <f t="shared" ca="1" si="5"/>
        <v>0</v>
      </c>
      <c r="N44" s="122">
        <f ca="1">ROUND(SUM(INDIRECT(S44):INDIRECT(T44)),0)</f>
        <v>0</v>
      </c>
      <c r="O44" s="122">
        <f ca="1">IF(N44=0,0,ROUND(SUM(INDIRECT(U44):INDIRECT(V44)),0))</f>
        <v>0</v>
      </c>
      <c r="P44" s="123" t="str">
        <f t="shared" ca="1" si="6"/>
        <v/>
      </c>
      <c r="Q44" s="1">
        <f t="shared" si="12"/>
        <v>342</v>
      </c>
      <c r="R44" s="1">
        <f t="shared" si="16"/>
        <v>353</v>
      </c>
      <c r="S44" s="1" t="str">
        <f t="shared" si="7"/>
        <v>f342</v>
      </c>
      <c r="T44" s="1" t="str">
        <f t="shared" si="7"/>
        <v>f353</v>
      </c>
      <c r="U44" s="1" t="str">
        <f t="shared" si="18"/>
        <v>G342</v>
      </c>
      <c r="V44" s="1" t="str">
        <f t="shared" si="18"/>
        <v>G353</v>
      </c>
    </row>
    <row r="45" spans="1:22">
      <c r="A45" s="335">
        <f t="shared" si="2"/>
        <v>28</v>
      </c>
      <c r="B45" s="340">
        <f t="shared" si="13"/>
        <v>47119</v>
      </c>
      <c r="C45" s="336">
        <f t="shared" ca="1" si="8"/>
        <v>16892950.534299999</v>
      </c>
      <c r="D45" s="335"/>
      <c r="E45" s="336">
        <f t="shared" si="17"/>
        <v>0</v>
      </c>
      <c r="F45" s="336">
        <f t="shared" ca="1" si="3"/>
        <v>-70387.293999999994</v>
      </c>
      <c r="G45" s="336">
        <f t="shared" ca="1" si="10"/>
        <v>70387.293999999994</v>
      </c>
      <c r="H45" s="336">
        <f t="shared" ca="1" si="11"/>
        <v>16963337.828299999</v>
      </c>
      <c r="I45" s="337">
        <f t="shared" ca="1" si="4"/>
        <v>-16963338</v>
      </c>
      <c r="J45" s="338">
        <v>29</v>
      </c>
      <c r="K45" s="122" cm="1">
        <f t="array" aca="1" ref="K45" ca="1">'Itemized Costs-HIDDEN'!M33-INDIRECT("'Sch3-Perf Period Cash Flow'!D"&amp;7&amp;"")</f>
        <v>2458418</v>
      </c>
      <c r="L45" s="122">
        <v>0</v>
      </c>
      <c r="M45" s="122">
        <f t="shared" ca="1" si="5"/>
        <v>0</v>
      </c>
      <c r="N45" s="122">
        <f ca="1">ROUND(SUM(INDIRECT(S45):INDIRECT(T45)),0)</f>
        <v>0</v>
      </c>
      <c r="O45" s="122">
        <f ca="1">IF(N45=0,0,ROUND(SUM(INDIRECT(U45):INDIRECT(V45)),0))</f>
        <v>0</v>
      </c>
      <c r="P45" s="123" t="str">
        <f t="shared" ca="1" si="6"/>
        <v/>
      </c>
      <c r="Q45" s="1">
        <f t="shared" si="12"/>
        <v>354</v>
      </c>
      <c r="R45" s="1">
        <f t="shared" si="16"/>
        <v>365</v>
      </c>
      <c r="S45" s="1" t="str">
        <f t="shared" si="7"/>
        <v>f354</v>
      </c>
      <c r="T45" s="1" t="str">
        <f t="shared" si="7"/>
        <v>f365</v>
      </c>
      <c r="U45" s="1" t="str">
        <f t="shared" si="18"/>
        <v>G354</v>
      </c>
      <c r="V45" s="1" t="str">
        <f t="shared" si="18"/>
        <v>G365</v>
      </c>
    </row>
    <row r="46" spans="1:22">
      <c r="A46" s="335">
        <f t="shared" si="2"/>
        <v>29</v>
      </c>
      <c r="B46" s="340">
        <f t="shared" si="13"/>
        <v>47150</v>
      </c>
      <c r="C46" s="336">
        <f t="shared" ca="1" si="8"/>
        <v>16963337.828299999</v>
      </c>
      <c r="D46" s="335"/>
      <c r="E46" s="336">
        <f t="shared" si="17"/>
        <v>0</v>
      </c>
      <c r="F46" s="336">
        <f t="shared" ca="1" si="3"/>
        <v>-70680.573999999993</v>
      </c>
      <c r="G46" s="336">
        <f t="shared" ca="1" si="10"/>
        <v>70680.573999999993</v>
      </c>
      <c r="H46" s="336">
        <f t="shared" ca="1" si="11"/>
        <v>17034018.4023</v>
      </c>
      <c r="I46" s="337">
        <f t="shared" ca="1" si="4"/>
        <v>-17034018</v>
      </c>
      <c r="J46" s="338">
        <v>30</v>
      </c>
      <c r="K46" s="122" cm="1">
        <f t="array" aca="1" ref="K46" ca="1">'Itemized Costs-HIDDEN'!M34-INDIRECT("'Sch3-Perf Period Cash Flow'!D"&amp;7&amp;"")</f>
        <v>2458418</v>
      </c>
      <c r="L46" s="122">
        <v>0</v>
      </c>
      <c r="M46" s="122">
        <f t="shared" ca="1" si="5"/>
        <v>0</v>
      </c>
      <c r="N46" s="122">
        <f ca="1">ROUND(SUM(INDIRECT(S46):INDIRECT(T46)),0)</f>
        <v>0</v>
      </c>
      <c r="O46" s="122">
        <f ca="1">IF(N46=0,0,ROUND(SUM(INDIRECT(U46):INDIRECT(V46)),0))</f>
        <v>0</v>
      </c>
      <c r="P46" s="123" t="str">
        <f t="shared" ca="1" si="6"/>
        <v/>
      </c>
      <c r="Q46" s="1">
        <f t="shared" si="12"/>
        <v>366</v>
      </c>
      <c r="R46" s="1">
        <f t="shared" si="16"/>
        <v>377</v>
      </c>
      <c r="S46" s="1" t="str">
        <f t="shared" si="7"/>
        <v>f366</v>
      </c>
      <c r="T46" s="1" t="str">
        <f t="shared" si="7"/>
        <v>f377</v>
      </c>
      <c r="U46" s="1" t="str">
        <f t="shared" si="18"/>
        <v>G366</v>
      </c>
      <c r="V46" s="1" t="str">
        <f t="shared" si="18"/>
        <v>G377</v>
      </c>
    </row>
    <row r="47" spans="1:22">
      <c r="A47" s="335">
        <f t="shared" si="2"/>
        <v>30</v>
      </c>
      <c r="B47" s="340">
        <f t="shared" si="13"/>
        <v>47178</v>
      </c>
      <c r="C47" s="336">
        <f t="shared" ca="1" si="8"/>
        <v>17034018.4023</v>
      </c>
      <c r="D47" s="335"/>
      <c r="E47" s="336">
        <f t="shared" ca="1" si="17"/>
        <v>353570.75</v>
      </c>
      <c r="F47" s="336">
        <f t="shared" ca="1" si="3"/>
        <v>284068.88500000001</v>
      </c>
      <c r="G47" s="336">
        <f t="shared" ca="1" si="10"/>
        <v>69501.865000000005</v>
      </c>
      <c r="H47" s="336">
        <f t="shared" ca="1" si="11"/>
        <v>16749949.5173</v>
      </c>
      <c r="I47" s="337">
        <f t="shared" ca="1" si="4"/>
        <v>-16749950</v>
      </c>
      <c r="J47" s="338">
        <v>31</v>
      </c>
      <c r="K47" s="122" cm="1">
        <f t="array" aca="1" ref="K47" ca="1">'Itemized Costs-HIDDEN'!M35-INDIRECT("'Sch3-Perf Period Cash Flow'!D"&amp;7&amp;"")</f>
        <v>2458418</v>
      </c>
      <c r="L47" s="122">
        <v>0</v>
      </c>
      <c r="M47" s="122">
        <f t="shared" ca="1" si="5"/>
        <v>0</v>
      </c>
      <c r="N47" s="122">
        <f ca="1">ROUND(SUM(INDIRECT(S47):INDIRECT(T47)),0)</f>
        <v>0</v>
      </c>
      <c r="O47" s="122">
        <f ca="1">IF(N47=0,0,ROUND(SUM(INDIRECT(U47):INDIRECT(V47)),0))</f>
        <v>0</v>
      </c>
      <c r="P47" s="123" t="str">
        <f t="shared" ca="1" si="6"/>
        <v/>
      </c>
      <c r="Q47" s="1">
        <f t="shared" si="12"/>
        <v>378</v>
      </c>
      <c r="R47" s="1">
        <f t="shared" si="16"/>
        <v>389</v>
      </c>
      <c r="S47" s="1" t="str">
        <f t="shared" si="7"/>
        <v>f378</v>
      </c>
      <c r="T47" s="1" t="str">
        <f t="shared" si="7"/>
        <v>f389</v>
      </c>
      <c r="U47" s="1" t="str">
        <f t="shared" si="18"/>
        <v>G378</v>
      </c>
      <c r="V47" s="1" t="str">
        <f t="shared" si="18"/>
        <v>G389</v>
      </c>
    </row>
    <row r="48" spans="1:22">
      <c r="A48" s="335">
        <f t="shared" si="2"/>
        <v>31</v>
      </c>
      <c r="B48" s="340">
        <f t="shared" si="13"/>
        <v>47209</v>
      </c>
      <c r="C48" s="336">
        <f t="shared" ca="1" si="8"/>
        <v>16749949.5173</v>
      </c>
      <c r="D48" s="335"/>
      <c r="E48" s="336">
        <f t="shared" si="17"/>
        <v>0</v>
      </c>
      <c r="F48" s="336">
        <f t="shared" ca="1" si="3"/>
        <v>-69791.456000000006</v>
      </c>
      <c r="G48" s="336">
        <f t="shared" ca="1" si="10"/>
        <v>69791.456000000006</v>
      </c>
      <c r="H48" s="336">
        <f t="shared" ca="1" si="11"/>
        <v>16819740.973299999</v>
      </c>
      <c r="I48" s="337">
        <f t="shared" ca="1" si="4"/>
        <v>-16819741</v>
      </c>
      <c r="J48" s="338">
        <v>32</v>
      </c>
      <c r="K48" s="122" cm="1">
        <f t="array" aca="1" ref="K48" ca="1">'Itemized Costs-HIDDEN'!M36-INDIRECT("'Sch3-Perf Period Cash Flow'!D"&amp;7&amp;"")</f>
        <v>2458418</v>
      </c>
      <c r="L48" s="122">
        <v>0</v>
      </c>
      <c r="M48" s="122">
        <f t="shared" ca="1" si="5"/>
        <v>0</v>
      </c>
      <c r="N48" s="122">
        <f ca="1">ROUND(SUM(INDIRECT(S48):INDIRECT(T48)),0)</f>
        <v>0</v>
      </c>
      <c r="O48" s="122">
        <f ca="1">IF(N48=0,0,ROUND(SUM(INDIRECT(U48):INDIRECT(V48)),0))</f>
        <v>0</v>
      </c>
      <c r="P48" s="123" t="str">
        <f t="shared" ca="1" si="6"/>
        <v/>
      </c>
      <c r="Q48" s="1">
        <f t="shared" si="12"/>
        <v>390</v>
      </c>
      <c r="R48" s="1">
        <f t="shared" si="16"/>
        <v>401</v>
      </c>
      <c r="S48" s="1" t="str">
        <f t="shared" si="7"/>
        <v>f390</v>
      </c>
      <c r="T48" s="1" t="str">
        <f t="shared" si="7"/>
        <v>f401</v>
      </c>
      <c r="U48" s="1" t="str">
        <f t="shared" si="18"/>
        <v>G390</v>
      </c>
      <c r="V48" s="1" t="str">
        <f t="shared" si="18"/>
        <v>G401</v>
      </c>
    </row>
    <row r="49" spans="1:22">
      <c r="A49" s="335">
        <f t="shared" si="2"/>
        <v>32</v>
      </c>
      <c r="B49" s="340">
        <f t="shared" si="13"/>
        <v>47239</v>
      </c>
      <c r="C49" s="336">
        <f t="shared" ca="1" si="8"/>
        <v>16819740.973299999</v>
      </c>
      <c r="D49" s="335"/>
      <c r="E49" s="336">
        <f t="shared" si="17"/>
        <v>0</v>
      </c>
      <c r="F49" s="336">
        <f t="shared" ca="1" si="3"/>
        <v>-70082.254000000001</v>
      </c>
      <c r="G49" s="336">
        <f t="shared" ca="1" si="10"/>
        <v>70082.254000000001</v>
      </c>
      <c r="H49" s="336">
        <f t="shared" ca="1" si="11"/>
        <v>16889823.227299999</v>
      </c>
      <c r="I49" s="337">
        <f t="shared" ca="1" si="4"/>
        <v>-16889823</v>
      </c>
      <c r="J49" s="338">
        <v>33</v>
      </c>
      <c r="K49" s="122" cm="1">
        <f t="array" aca="1" ref="K49" ca="1">'Itemized Costs-HIDDEN'!M37-INDIRECT("'Sch3-Perf Period Cash Flow'!D"&amp;7&amp;"")</f>
        <v>2458418</v>
      </c>
      <c r="L49" s="122">
        <v>0</v>
      </c>
      <c r="M49" s="122">
        <f t="shared" ca="1" si="5"/>
        <v>0</v>
      </c>
      <c r="N49" s="122">
        <f ca="1">ROUND(SUM(INDIRECT(S49):INDIRECT(T49)),0)</f>
        <v>0</v>
      </c>
      <c r="O49" s="122">
        <f ca="1">IF(N49=0,0,ROUND(SUM(INDIRECT(U49):INDIRECT(V49)),0))</f>
        <v>0</v>
      </c>
      <c r="P49" s="123" t="str">
        <f t="shared" ca="1" si="6"/>
        <v/>
      </c>
      <c r="Q49" s="1">
        <f t="shared" si="12"/>
        <v>402</v>
      </c>
      <c r="R49" s="1">
        <f t="shared" si="16"/>
        <v>413</v>
      </c>
      <c r="S49" s="1" t="str">
        <f t="shared" si="7"/>
        <v>f402</v>
      </c>
      <c r="T49" s="1" t="str">
        <f t="shared" si="7"/>
        <v>f413</v>
      </c>
      <c r="U49" s="1" t="str">
        <f t="shared" si="18"/>
        <v>G402</v>
      </c>
      <c r="V49" s="1" t="str">
        <f t="shared" si="18"/>
        <v>G413</v>
      </c>
    </row>
    <row r="50" spans="1:22">
      <c r="A50" s="335">
        <f t="shared" si="2"/>
        <v>33</v>
      </c>
      <c r="B50" s="340">
        <f t="shared" si="13"/>
        <v>47270</v>
      </c>
      <c r="C50" s="336">
        <f t="shared" ca="1" si="8"/>
        <v>16889823.227299999</v>
      </c>
      <c r="D50" s="335"/>
      <c r="E50" s="336">
        <f t="shared" ca="1" si="17"/>
        <v>353570.75</v>
      </c>
      <c r="F50" s="336">
        <f t="shared" ca="1" si="3"/>
        <v>284669.69799999997</v>
      </c>
      <c r="G50" s="336">
        <f t="shared" ca="1" si="10"/>
        <v>68901.051999999996</v>
      </c>
      <c r="H50" s="336">
        <f t="shared" ca="1" si="11"/>
        <v>16605153.529300001</v>
      </c>
      <c r="I50" s="337">
        <f t="shared" ca="1" si="4"/>
        <v>-16605154</v>
      </c>
      <c r="J50" s="338">
        <v>34</v>
      </c>
      <c r="K50" s="122" cm="1">
        <f t="array" aca="1" ref="K50" ca="1">'Itemized Costs-HIDDEN'!M38-INDIRECT("'Sch3-Perf Period Cash Flow'!D"&amp;7&amp;"")</f>
        <v>2458418</v>
      </c>
      <c r="L50" s="122">
        <v>0</v>
      </c>
      <c r="M50" s="122">
        <f t="shared" ca="1" si="5"/>
        <v>0</v>
      </c>
      <c r="N50" s="122">
        <f ca="1">ROUND(SUM(INDIRECT(S50):INDIRECT(T50)),0)</f>
        <v>0</v>
      </c>
      <c r="O50" s="122">
        <f ca="1">IF(N50=0,0,ROUND(SUM(INDIRECT(U50):INDIRECT(V50)),0))</f>
        <v>0</v>
      </c>
      <c r="P50" s="123" t="str">
        <f t="shared" ca="1" si="6"/>
        <v/>
      </c>
      <c r="Q50" s="1">
        <f t="shared" si="12"/>
        <v>414</v>
      </c>
      <c r="R50" s="1">
        <f t="shared" si="16"/>
        <v>425</v>
      </c>
      <c r="S50" s="1" t="str">
        <f t="shared" si="7"/>
        <v>f414</v>
      </c>
      <c r="T50" s="1" t="str">
        <f t="shared" si="7"/>
        <v>f425</v>
      </c>
      <c r="U50" s="1" t="str">
        <f t="shared" si="18"/>
        <v>G414</v>
      </c>
      <c r="V50" s="1" t="str">
        <f t="shared" si="18"/>
        <v>G425</v>
      </c>
    </row>
    <row r="51" spans="1:22">
      <c r="A51" s="335">
        <f t="shared" si="2"/>
        <v>34</v>
      </c>
      <c r="B51" s="340">
        <f t="shared" si="13"/>
        <v>47300</v>
      </c>
      <c r="C51" s="336">
        <f t="shared" ca="1" si="8"/>
        <v>16605153.529300001</v>
      </c>
      <c r="D51" s="335"/>
      <c r="E51" s="336">
        <f t="shared" si="17"/>
        <v>0</v>
      </c>
      <c r="F51" s="336">
        <f t="shared" ca="1" si="3"/>
        <v>-69188.14</v>
      </c>
      <c r="G51" s="336">
        <f t="shared" ca="1" si="10"/>
        <v>69188.14</v>
      </c>
      <c r="H51" s="336">
        <f t="shared" ca="1" si="11"/>
        <v>16674341.669299999</v>
      </c>
      <c r="I51" s="337">
        <f t="shared" ca="1" si="4"/>
        <v>-16674342</v>
      </c>
      <c r="J51" s="338">
        <v>35</v>
      </c>
      <c r="K51" s="122" cm="1">
        <f t="array" aca="1" ref="K51" ca="1">'Itemized Costs-HIDDEN'!M39-INDIRECT("'Sch3-Perf Period Cash Flow'!D"&amp;7&amp;"")</f>
        <v>2458418</v>
      </c>
      <c r="L51" s="122">
        <v>0</v>
      </c>
      <c r="M51" s="122">
        <f t="shared" ca="1" si="5"/>
        <v>0</v>
      </c>
      <c r="N51" s="122">
        <f ca="1">ROUND(SUM(INDIRECT(S51):INDIRECT(T51)),0)</f>
        <v>0</v>
      </c>
      <c r="O51" s="122">
        <f ca="1">IF(N51=0,0,ROUND(SUM(INDIRECT(U51):INDIRECT(V51)),0))</f>
        <v>0</v>
      </c>
      <c r="P51" s="123" t="str">
        <f t="shared" ca="1" si="6"/>
        <v/>
      </c>
      <c r="Q51" s="1">
        <f t="shared" si="12"/>
        <v>426</v>
      </c>
      <c r="R51" s="1">
        <f t="shared" si="16"/>
        <v>437</v>
      </c>
      <c r="S51" s="1" t="str">
        <f t="shared" si="7"/>
        <v>f426</v>
      </c>
      <c r="T51" s="1" t="str">
        <f t="shared" si="7"/>
        <v>f437</v>
      </c>
      <c r="U51" s="1" t="str">
        <f t="shared" si="18"/>
        <v>G426</v>
      </c>
      <c r="V51" s="1" t="str">
        <f t="shared" si="18"/>
        <v>G437</v>
      </c>
    </row>
    <row r="52" spans="1:22">
      <c r="A52" s="335">
        <f t="shared" si="2"/>
        <v>35</v>
      </c>
      <c r="B52" s="340">
        <f t="shared" si="13"/>
        <v>47331</v>
      </c>
      <c r="C52" s="336">
        <f t="shared" ca="1" si="8"/>
        <v>16674341.669299999</v>
      </c>
      <c r="D52" s="335"/>
      <c r="E52" s="336">
        <f t="shared" si="17"/>
        <v>0</v>
      </c>
      <c r="F52" s="336">
        <f t="shared" ca="1" si="3"/>
        <v>-69476.423999999999</v>
      </c>
      <c r="G52" s="336">
        <f t="shared" ca="1" si="10"/>
        <v>69476.423999999999</v>
      </c>
      <c r="H52" s="336">
        <f t="shared" ca="1" si="11"/>
        <v>16743818.0933</v>
      </c>
      <c r="I52" s="337">
        <f t="shared" ca="1" si="4"/>
        <v>-16743818</v>
      </c>
      <c r="J52" s="338">
        <v>36</v>
      </c>
      <c r="K52" s="122" cm="1">
        <f t="array" aca="1" ref="K52" ca="1">'Itemized Costs-HIDDEN'!M40-INDIRECT("'Sch3-Perf Period Cash Flow'!D"&amp;7&amp;"")</f>
        <v>2458418</v>
      </c>
      <c r="L52" s="122">
        <v>0</v>
      </c>
      <c r="M52" s="122">
        <f t="shared" ca="1" si="5"/>
        <v>0</v>
      </c>
      <c r="N52" s="122">
        <f ca="1">ROUND(SUM(INDIRECT(S52):INDIRECT(T52)),0)</f>
        <v>0</v>
      </c>
      <c r="O52" s="122">
        <f ca="1">IF(N52=0,0,ROUND(SUM(INDIRECT(U52):INDIRECT(V52)),0))</f>
        <v>0</v>
      </c>
      <c r="P52" s="123" t="str">
        <f t="shared" ca="1" si="6"/>
        <v/>
      </c>
      <c r="Q52" s="1">
        <f t="shared" si="12"/>
        <v>438</v>
      </c>
      <c r="R52" s="1">
        <f t="shared" si="16"/>
        <v>449</v>
      </c>
      <c r="S52" s="1" t="str">
        <f t="shared" si="7"/>
        <v>f438</v>
      </c>
      <c r="T52" s="1" t="str">
        <f t="shared" si="7"/>
        <v>f449</v>
      </c>
      <c r="U52" s="1" t="str">
        <f t="shared" si="18"/>
        <v>G438</v>
      </c>
      <c r="V52" s="1" t="str">
        <f t="shared" si="18"/>
        <v>G449</v>
      </c>
    </row>
    <row r="53" spans="1:22">
      <c r="A53" s="335">
        <f t="shared" si="2"/>
        <v>36</v>
      </c>
      <c r="B53" s="340">
        <f t="shared" si="13"/>
        <v>47362</v>
      </c>
      <c r="C53" s="336">
        <f t="shared" ca="1" si="8"/>
        <v>16743818.0933</v>
      </c>
      <c r="D53" s="336">
        <f ca="1">IF(H53&lt;0,0,0.25*(K20-L20))</f>
        <v>360636.5</v>
      </c>
      <c r="E53" s="336">
        <f t="shared" ca="1" si="17"/>
        <v>353570.75</v>
      </c>
      <c r="F53" s="336">
        <f t="shared" ca="1" si="3"/>
        <v>285278.05300000001</v>
      </c>
      <c r="G53" s="336">
        <f t="shared" ca="1" si="10"/>
        <v>68292.697</v>
      </c>
      <c r="H53" s="336">
        <f t="shared" ca="1" si="11"/>
        <v>16458540.0403</v>
      </c>
      <c r="I53" s="337">
        <f t="shared" ca="1" si="4"/>
        <v>-16097904</v>
      </c>
      <c r="J53" s="338">
        <v>37</v>
      </c>
      <c r="K53" s="122" cm="1">
        <f t="array" aca="1" ref="K53" ca="1">'Itemized Costs-HIDDEN'!M41-INDIRECT("'Sch3-Perf Period Cash Flow'!D"&amp;7&amp;"")</f>
        <v>2458418</v>
      </c>
      <c r="L53" s="122">
        <v>0</v>
      </c>
      <c r="M53" s="122">
        <f t="shared" ca="1" si="5"/>
        <v>0</v>
      </c>
      <c r="N53" s="122">
        <f ca="1">ROUND(SUM(INDIRECT(S53):INDIRECT(T53)),0)</f>
        <v>0</v>
      </c>
      <c r="O53" s="122">
        <f ca="1">IF(N53=0,0,ROUND(SUM(INDIRECT(U53):INDIRECT(V53)),0))</f>
        <v>0</v>
      </c>
      <c r="P53" s="123" t="str">
        <f t="shared" ca="1" si="6"/>
        <v/>
      </c>
      <c r="Q53" s="1">
        <f t="shared" si="12"/>
        <v>450</v>
      </c>
      <c r="R53" s="1">
        <f t="shared" si="16"/>
        <v>461</v>
      </c>
      <c r="S53" s="1" t="str">
        <f t="shared" si="7"/>
        <v>f450</v>
      </c>
      <c r="T53" s="1" t="str">
        <f t="shared" si="7"/>
        <v>f461</v>
      </c>
      <c r="U53" s="1" t="str">
        <f t="shared" si="18"/>
        <v>G450</v>
      </c>
      <c r="V53" s="1" t="str">
        <f t="shared" si="18"/>
        <v>G461</v>
      </c>
    </row>
    <row r="54" spans="1:22">
      <c r="A54" s="335">
        <f t="shared" si="2"/>
        <v>37</v>
      </c>
      <c r="B54" s="340">
        <f t="shared" si="13"/>
        <v>47392</v>
      </c>
      <c r="C54" s="336">
        <f t="shared" ca="1" si="8"/>
        <v>16458540.0403</v>
      </c>
      <c r="D54" s="336"/>
      <c r="E54" s="336">
        <f t="shared" ref="E54:E65" si="19">IF($D$10=1,
 IF(OR(MONTH(B54)=MONTH(EDATE($D$7,0)),MONTH(B54)=MONTH(EDATE($D$7,3)),MONTH(B54)=MONTH(EDATE($D$7,6)),MONTH(B54)=MONTH(EDATE($D$7,9))),(MIN($D$53,H53)),0),
IF($D$10=0,
 IF(OR(MONTH(B54)=MONTH(EDATE($D$7,2)),MONTH(B54)=MONTH(EDATE($D$7,5)),MONTH(B54)=MONTH(EDATE($D$7,8)),MONTH(B54)=MONTH(EDATE($D$7,11))),(MIN($D$53,H53)),0)))</f>
        <v>0</v>
      </c>
      <c r="F54" s="336">
        <f t="shared" ca="1" si="3"/>
        <v>-68577.25</v>
      </c>
      <c r="G54" s="336">
        <f t="shared" ca="1" si="10"/>
        <v>68577.25</v>
      </c>
      <c r="H54" s="336">
        <f t="shared" ca="1" si="11"/>
        <v>16527117.2903</v>
      </c>
      <c r="I54" s="337">
        <f t="shared" ca="1" si="4"/>
        <v>-16527117</v>
      </c>
      <c r="J54" s="338">
        <v>38</v>
      </c>
      <c r="K54" s="122" cm="1">
        <f t="array" aca="1" ref="K54" ca="1">'Itemized Costs-HIDDEN'!M42-INDIRECT("'Sch3-Perf Period Cash Flow'!D"&amp;7&amp;"")</f>
        <v>2458418</v>
      </c>
      <c r="L54" s="122">
        <v>0</v>
      </c>
      <c r="M54" s="122">
        <f t="shared" ca="1" si="5"/>
        <v>0</v>
      </c>
      <c r="N54" s="122">
        <f ca="1">ROUND(SUM(INDIRECT(S54):INDIRECT(T54)),0)</f>
        <v>0</v>
      </c>
      <c r="O54" s="122">
        <f ca="1">IF(N54=0,0,ROUND(SUM(INDIRECT(U54):INDIRECT(V54)),0))</f>
        <v>0</v>
      </c>
      <c r="P54" s="123" t="str">
        <f t="shared" ca="1" si="6"/>
        <v/>
      </c>
      <c r="Q54" s="1">
        <f t="shared" si="12"/>
        <v>462</v>
      </c>
      <c r="R54" s="1">
        <f t="shared" si="16"/>
        <v>473</v>
      </c>
      <c r="S54" s="1" t="str">
        <f t="shared" si="7"/>
        <v>f462</v>
      </c>
      <c r="T54" s="1" t="str">
        <f t="shared" si="7"/>
        <v>f473</v>
      </c>
      <c r="U54" s="1" t="str">
        <f t="shared" si="18"/>
        <v>G462</v>
      </c>
      <c r="V54" s="1" t="str">
        <f t="shared" si="18"/>
        <v>G473</v>
      </c>
    </row>
    <row r="55" spans="1:22">
      <c r="A55" s="335">
        <f t="shared" si="2"/>
        <v>38</v>
      </c>
      <c r="B55" s="340">
        <f t="shared" si="13"/>
        <v>47423</v>
      </c>
      <c r="C55" s="336">
        <f t="shared" ca="1" si="8"/>
        <v>16527117.2903</v>
      </c>
      <c r="D55" s="335"/>
      <c r="E55" s="336">
        <f t="shared" si="19"/>
        <v>0</v>
      </c>
      <c r="F55" s="336">
        <f t="shared" ca="1" si="3"/>
        <v>-68862.989000000001</v>
      </c>
      <c r="G55" s="336">
        <f t="shared" ca="1" si="10"/>
        <v>68862.989000000001</v>
      </c>
      <c r="H55" s="336">
        <f t="shared" ca="1" si="11"/>
        <v>16595980.279300001</v>
      </c>
      <c r="I55" s="337">
        <f t="shared" ca="1" si="4"/>
        <v>-16595980</v>
      </c>
      <c r="J55" s="338">
        <v>39</v>
      </c>
      <c r="K55" s="122" cm="1">
        <f t="array" aca="1" ref="K55" ca="1">'Itemized Costs-HIDDEN'!M43-INDIRECT("'Sch3-Perf Period Cash Flow'!D"&amp;7&amp;"")</f>
        <v>2458418</v>
      </c>
      <c r="L55" s="122">
        <v>0</v>
      </c>
      <c r="M55" s="122">
        <f t="shared" ca="1" si="5"/>
        <v>0</v>
      </c>
      <c r="N55" s="122">
        <f ca="1">ROUND(SUM(INDIRECT(S55):INDIRECT(T55)),0)</f>
        <v>0</v>
      </c>
      <c r="O55" s="122">
        <f ca="1">IF(N55=0,0,ROUND(SUM(INDIRECT(U55):INDIRECT(V55)),0))</f>
        <v>0</v>
      </c>
      <c r="P55" s="123" t="str">
        <f t="shared" ca="1" si="6"/>
        <v/>
      </c>
      <c r="Q55" s="1">
        <f t="shared" si="12"/>
        <v>474</v>
      </c>
      <c r="R55" s="1">
        <f t="shared" si="16"/>
        <v>485</v>
      </c>
      <c r="S55" s="1" t="str">
        <f t="shared" si="7"/>
        <v>f474</v>
      </c>
      <c r="T55" s="1" t="str">
        <f t="shared" si="7"/>
        <v>f485</v>
      </c>
      <c r="U55" s="1" t="str">
        <f t="shared" si="18"/>
        <v>G474</v>
      </c>
      <c r="V55" s="1" t="str">
        <f t="shared" si="18"/>
        <v>G485</v>
      </c>
    </row>
    <row r="56" spans="1:22">
      <c r="A56" s="335">
        <f t="shared" si="2"/>
        <v>39</v>
      </c>
      <c r="B56" s="340">
        <f t="shared" si="13"/>
        <v>47453</v>
      </c>
      <c r="C56" s="336">
        <f t="shared" ca="1" si="8"/>
        <v>16595980.279300001</v>
      </c>
      <c r="D56" s="335"/>
      <c r="E56" s="336">
        <f t="shared" ca="1" si="19"/>
        <v>360636.5</v>
      </c>
      <c r="F56" s="336">
        <f t="shared" ca="1" si="3"/>
        <v>292989.234</v>
      </c>
      <c r="G56" s="336">
        <f t="shared" ca="1" si="10"/>
        <v>67647.266000000003</v>
      </c>
      <c r="H56" s="336">
        <f t="shared" ca="1" si="11"/>
        <v>16302991.045299999</v>
      </c>
      <c r="I56" s="337">
        <f t="shared" ca="1" si="4"/>
        <v>-16302991</v>
      </c>
      <c r="J56" s="338">
        <v>40</v>
      </c>
      <c r="K56" s="122" cm="1">
        <f t="array" aca="1" ref="K56" ca="1">'Itemized Costs-HIDDEN'!M44-INDIRECT("'Sch3-Perf Period Cash Flow'!D"&amp;7&amp;"")</f>
        <v>2458418</v>
      </c>
      <c r="L56" s="122">
        <v>0</v>
      </c>
      <c r="M56" s="122">
        <f t="shared" ca="1" si="5"/>
        <v>0</v>
      </c>
      <c r="N56" s="122">
        <f ca="1">ROUND(SUM(INDIRECT(S56):INDIRECT(T56)),0)</f>
        <v>0</v>
      </c>
      <c r="O56" s="122">
        <f ca="1">IF(N56=0,0,ROUND(SUM(INDIRECT(U56):INDIRECT(V56)),0))</f>
        <v>0</v>
      </c>
      <c r="P56" s="123" t="str">
        <f t="shared" ca="1" si="6"/>
        <v/>
      </c>
      <c r="Q56" s="1">
        <f t="shared" si="12"/>
        <v>486</v>
      </c>
      <c r="R56" s="1">
        <f t="shared" si="16"/>
        <v>497</v>
      </c>
      <c r="S56" s="1" t="str">
        <f t="shared" si="7"/>
        <v>f486</v>
      </c>
      <c r="T56" s="1" t="str">
        <f t="shared" si="7"/>
        <v>f497</v>
      </c>
      <c r="U56" s="1" t="str">
        <f t="shared" si="18"/>
        <v>G486</v>
      </c>
      <c r="V56" s="1" t="str">
        <f t="shared" si="18"/>
        <v>G497</v>
      </c>
    </row>
    <row r="57" spans="1:22">
      <c r="A57" s="335">
        <f t="shared" si="2"/>
        <v>40</v>
      </c>
      <c r="B57" s="340">
        <f t="shared" si="13"/>
        <v>47484</v>
      </c>
      <c r="C57" s="336">
        <f t="shared" ca="1" si="8"/>
        <v>16302991.045299999</v>
      </c>
      <c r="D57" s="335"/>
      <c r="E57" s="336">
        <f t="shared" si="19"/>
        <v>0</v>
      </c>
      <c r="F57" s="336">
        <f t="shared" ca="1" si="3"/>
        <v>-67929.129000000001</v>
      </c>
      <c r="G57" s="336">
        <f t="shared" ca="1" si="10"/>
        <v>67929.129000000001</v>
      </c>
      <c r="H57" s="336">
        <f t="shared" ca="1" si="11"/>
        <v>16370920.1743</v>
      </c>
      <c r="I57" s="337">
        <f t="shared" ca="1" si="4"/>
        <v>-16370920</v>
      </c>
      <c r="J57" s="1"/>
      <c r="K57" s="1"/>
      <c r="L57" s="1"/>
      <c r="M57" s="1"/>
      <c r="N57" s="1"/>
      <c r="O57" s="1"/>
      <c r="P57" s="1"/>
      <c r="Q57" s="1"/>
      <c r="R57" s="1"/>
      <c r="S57" s="1"/>
      <c r="T57" s="1"/>
      <c r="U57" s="1"/>
      <c r="V57" s="1"/>
    </row>
    <row r="58" spans="1:22">
      <c r="A58" s="335">
        <f t="shared" si="2"/>
        <v>41</v>
      </c>
      <c r="B58" s="340">
        <f t="shared" si="13"/>
        <v>47515</v>
      </c>
      <c r="C58" s="336">
        <f t="shared" ca="1" si="8"/>
        <v>16370920.1743</v>
      </c>
      <c r="D58" s="335"/>
      <c r="E58" s="336">
        <f t="shared" si="19"/>
        <v>0</v>
      </c>
      <c r="F58" s="336">
        <f t="shared" ca="1" si="3"/>
        <v>-68212.167000000001</v>
      </c>
      <c r="G58" s="336">
        <f t="shared" ca="1" si="10"/>
        <v>68212.167000000001</v>
      </c>
      <c r="H58" s="336">
        <f t="shared" ca="1" si="11"/>
        <v>16439132.3413</v>
      </c>
      <c r="I58" s="337">
        <f t="shared" ca="1" si="4"/>
        <v>-16439132</v>
      </c>
      <c r="J58" s="1"/>
      <c r="K58" s="1"/>
      <c r="L58" s="1"/>
      <c r="M58" s="1"/>
      <c r="N58" s="1"/>
      <c r="O58" s="1"/>
      <c r="P58" s="1"/>
      <c r="Q58" s="1"/>
      <c r="R58" s="1"/>
      <c r="S58" s="1"/>
      <c r="T58" s="1"/>
      <c r="U58" s="1"/>
      <c r="V58" s="1"/>
    </row>
    <row r="59" spans="1:22">
      <c r="A59" s="335">
        <f t="shared" si="2"/>
        <v>42</v>
      </c>
      <c r="B59" s="340">
        <f t="shared" si="13"/>
        <v>47543</v>
      </c>
      <c r="C59" s="336">
        <f t="shared" ca="1" si="8"/>
        <v>16439132.3413</v>
      </c>
      <c r="D59" s="335"/>
      <c r="E59" s="336">
        <f t="shared" ca="1" si="19"/>
        <v>360636.5</v>
      </c>
      <c r="F59" s="336">
        <f t="shared" ca="1" si="3"/>
        <v>293642.76699999999</v>
      </c>
      <c r="G59" s="336">
        <f t="shared" ca="1" si="10"/>
        <v>66993.732999999993</v>
      </c>
      <c r="H59" s="336">
        <f t="shared" ca="1" si="11"/>
        <v>16145489.5743</v>
      </c>
      <c r="I59" s="337">
        <f t="shared" ca="1" si="4"/>
        <v>-16145490</v>
      </c>
      <c r="J59" s="1"/>
      <c r="K59" s="1"/>
      <c r="L59" s="1"/>
      <c r="M59" s="1"/>
      <c r="N59" s="1"/>
      <c r="O59" s="1"/>
      <c r="P59" s="1"/>
      <c r="Q59" s="1"/>
      <c r="R59" s="1"/>
      <c r="S59" s="1"/>
      <c r="T59" s="1"/>
      <c r="U59" s="1"/>
      <c r="V59" s="1"/>
    </row>
    <row r="60" spans="1:22">
      <c r="A60" s="335">
        <f t="shared" si="2"/>
        <v>43</v>
      </c>
      <c r="B60" s="340">
        <f t="shared" si="13"/>
        <v>47574</v>
      </c>
      <c r="C60" s="336">
        <f t="shared" ca="1" si="8"/>
        <v>16145489.5743</v>
      </c>
      <c r="D60" s="335"/>
      <c r="E60" s="336">
        <f t="shared" si="19"/>
        <v>0</v>
      </c>
      <c r="F60" s="336">
        <f t="shared" ca="1" si="3"/>
        <v>-67272.873000000007</v>
      </c>
      <c r="G60" s="336">
        <f t="shared" ca="1" si="10"/>
        <v>67272.873000000007</v>
      </c>
      <c r="H60" s="336">
        <f t="shared" ca="1" si="11"/>
        <v>16212762.4473</v>
      </c>
      <c r="I60" s="337">
        <f t="shared" ca="1" si="4"/>
        <v>-16212762</v>
      </c>
      <c r="J60" s="1"/>
      <c r="K60" s="1"/>
      <c r="L60" s="1"/>
      <c r="M60" s="1"/>
      <c r="N60" s="1"/>
      <c r="O60" s="1"/>
      <c r="P60" s="1"/>
      <c r="Q60" s="1"/>
      <c r="R60" s="1"/>
      <c r="S60" s="1"/>
      <c r="T60" s="1"/>
      <c r="U60" s="1"/>
      <c r="V60" s="1"/>
    </row>
    <row r="61" spans="1:22">
      <c r="A61" s="335">
        <f t="shared" si="2"/>
        <v>44</v>
      </c>
      <c r="B61" s="340">
        <f t="shared" si="13"/>
        <v>47604</v>
      </c>
      <c r="C61" s="336">
        <f t="shared" ca="1" si="8"/>
        <v>16212762.4473</v>
      </c>
      <c r="D61" s="335"/>
      <c r="E61" s="336">
        <f t="shared" si="19"/>
        <v>0</v>
      </c>
      <c r="F61" s="336">
        <f t="shared" ca="1" si="3"/>
        <v>-67553.176999999996</v>
      </c>
      <c r="G61" s="336">
        <f t="shared" ca="1" si="10"/>
        <v>67553.176999999996</v>
      </c>
      <c r="H61" s="336">
        <f t="shared" ca="1" si="11"/>
        <v>16280315.624299999</v>
      </c>
      <c r="I61" s="337">
        <f t="shared" ca="1" si="4"/>
        <v>-16280316</v>
      </c>
      <c r="J61" s="1"/>
      <c r="K61" s="1"/>
      <c r="L61" s="1"/>
      <c r="M61" s="1"/>
      <c r="N61" s="1"/>
      <c r="O61" s="1"/>
      <c r="P61" s="1"/>
      <c r="Q61" s="1"/>
      <c r="R61" s="1"/>
      <c r="S61" s="1"/>
      <c r="T61" s="1"/>
      <c r="U61" s="1"/>
      <c r="V61" s="1"/>
    </row>
    <row r="62" spans="1:22">
      <c r="A62" s="335">
        <f t="shared" si="2"/>
        <v>45</v>
      </c>
      <c r="B62" s="340">
        <f t="shared" si="13"/>
        <v>47635</v>
      </c>
      <c r="C62" s="336">
        <f t="shared" ca="1" si="8"/>
        <v>16280315.624299999</v>
      </c>
      <c r="D62" s="335"/>
      <c r="E62" s="336">
        <f t="shared" ca="1" si="19"/>
        <v>360636.5</v>
      </c>
      <c r="F62" s="336">
        <f t="shared" ca="1" si="3"/>
        <v>294304.50400000002</v>
      </c>
      <c r="G62" s="336">
        <f t="shared" ca="1" si="10"/>
        <v>66331.995999999999</v>
      </c>
      <c r="H62" s="336">
        <f t="shared" ca="1" si="11"/>
        <v>15986011.120300001</v>
      </c>
      <c r="I62" s="337">
        <f t="shared" ca="1" si="4"/>
        <v>-15986011</v>
      </c>
      <c r="J62" s="1"/>
      <c r="K62" s="1"/>
      <c r="L62" s="1"/>
      <c r="M62" s="1"/>
      <c r="N62" s="1"/>
      <c r="O62" s="1"/>
      <c r="P62" s="1"/>
      <c r="Q62" s="1"/>
      <c r="R62" s="1"/>
      <c r="S62" s="1"/>
      <c r="T62" s="1"/>
      <c r="U62" s="1"/>
      <c r="V62" s="1"/>
    </row>
    <row r="63" spans="1:22">
      <c r="A63" s="335">
        <f t="shared" si="2"/>
        <v>46</v>
      </c>
      <c r="B63" s="340">
        <f t="shared" si="13"/>
        <v>47665</v>
      </c>
      <c r="C63" s="336">
        <f t="shared" ca="1" si="8"/>
        <v>15986011.120300001</v>
      </c>
      <c r="D63" s="335"/>
      <c r="E63" s="336">
        <f t="shared" si="19"/>
        <v>0</v>
      </c>
      <c r="F63" s="336">
        <f t="shared" ca="1" si="3"/>
        <v>-66608.38</v>
      </c>
      <c r="G63" s="336">
        <f t="shared" ca="1" si="10"/>
        <v>66608.38</v>
      </c>
      <c r="H63" s="336">
        <f t="shared" ca="1" si="11"/>
        <v>16052619.500299999</v>
      </c>
      <c r="I63" s="337">
        <f t="shared" ca="1" si="4"/>
        <v>-16052620</v>
      </c>
      <c r="J63" s="1"/>
      <c r="K63" s="1"/>
      <c r="L63" s="1"/>
      <c r="M63" s="1"/>
      <c r="N63" s="1"/>
      <c r="O63" s="1"/>
      <c r="P63" s="1"/>
      <c r="Q63" s="1"/>
      <c r="R63" s="1"/>
      <c r="S63" s="1"/>
      <c r="T63" s="1"/>
      <c r="U63" s="1"/>
      <c r="V63" s="1"/>
    </row>
    <row r="64" spans="1:22">
      <c r="A64" s="335">
        <f t="shared" si="2"/>
        <v>47</v>
      </c>
      <c r="B64" s="340">
        <f t="shared" si="13"/>
        <v>47696</v>
      </c>
      <c r="C64" s="336">
        <f t="shared" ca="1" si="8"/>
        <v>16052619.500299999</v>
      </c>
      <c r="D64" s="335"/>
      <c r="E64" s="336">
        <f t="shared" si="19"/>
        <v>0</v>
      </c>
      <c r="F64" s="336">
        <f t="shared" ca="1" si="3"/>
        <v>-66885.914999999994</v>
      </c>
      <c r="G64" s="336">
        <f t="shared" ca="1" si="10"/>
        <v>66885.914999999994</v>
      </c>
      <c r="H64" s="336">
        <f t="shared" ca="1" si="11"/>
        <v>16119505.4153</v>
      </c>
      <c r="I64" s="337">
        <f t="shared" ca="1" si="4"/>
        <v>-16119505</v>
      </c>
      <c r="J64" s="1"/>
      <c r="K64" s="1"/>
      <c r="L64" s="1"/>
      <c r="M64" s="1"/>
      <c r="N64" s="1"/>
      <c r="O64" s="1"/>
      <c r="P64" s="1"/>
      <c r="Q64" s="1"/>
      <c r="R64" s="1"/>
      <c r="S64" s="1"/>
      <c r="T64" s="1"/>
      <c r="U64" s="1"/>
      <c r="V64" s="1"/>
    </row>
    <row r="65" spans="1:22">
      <c r="A65" s="335">
        <f t="shared" si="2"/>
        <v>48</v>
      </c>
      <c r="B65" s="340">
        <f t="shared" si="13"/>
        <v>47727</v>
      </c>
      <c r="C65" s="336">
        <f t="shared" ca="1" si="8"/>
        <v>16119505.4153</v>
      </c>
      <c r="D65" s="336">
        <f ca="1">IF(H65&lt;0,0,0.25*(K21-L21))</f>
        <v>367881.5</v>
      </c>
      <c r="E65" s="336">
        <f t="shared" ca="1" si="19"/>
        <v>360636.5</v>
      </c>
      <c r="F65" s="336">
        <f t="shared" ca="1" si="3"/>
        <v>294974.54599999997</v>
      </c>
      <c r="G65" s="336">
        <f t="shared" ca="1" si="10"/>
        <v>65661.953999999998</v>
      </c>
      <c r="H65" s="336">
        <f t="shared" ca="1" si="11"/>
        <v>15824530.8693</v>
      </c>
      <c r="I65" s="337">
        <f t="shared" ca="1" si="4"/>
        <v>-15456649</v>
      </c>
      <c r="J65" s="1"/>
      <c r="K65" s="1"/>
      <c r="L65" s="1"/>
      <c r="M65" s="1"/>
      <c r="N65" s="1"/>
      <c r="O65" s="1"/>
      <c r="P65" s="1"/>
      <c r="Q65" s="1"/>
      <c r="R65" s="1"/>
      <c r="S65" s="1"/>
      <c r="T65" s="1"/>
      <c r="U65" s="1"/>
      <c r="V65" s="1"/>
    </row>
    <row r="66" spans="1:22">
      <c r="A66" s="335">
        <f t="shared" si="2"/>
        <v>49</v>
      </c>
      <c r="B66" s="340">
        <f t="shared" si="13"/>
        <v>47757</v>
      </c>
      <c r="C66" s="336">
        <f t="shared" ca="1" si="8"/>
        <v>15824530.8693</v>
      </c>
      <c r="D66" s="335"/>
      <c r="E66" s="336">
        <f t="shared" ref="E66:E77" si="20">IF($D$10=1,
 IF(OR(MONTH(B66)=MONTH(EDATE($D$7,0)),MONTH(B66)=MONTH(EDATE($D$7,3)),MONTH(B66)=MONTH(EDATE($D$7,6)),MONTH(B66)=MONTH(EDATE($D$7,9))),(MIN($D$65,H65)),0),
IF($D$10=0,
 IF(OR(MONTH(B66)=MONTH(EDATE($D$7,2)),MONTH(B66)=MONTH(EDATE($D$7,5)),MONTH(B66)=MONTH(EDATE($D$7,8)),MONTH(B66)=MONTH(EDATE($D$7,11))),(MIN($D$65,H65)),0)))</f>
        <v>0</v>
      </c>
      <c r="F66" s="336">
        <f t="shared" ca="1" si="3"/>
        <v>-65935.544999999998</v>
      </c>
      <c r="G66" s="336">
        <f t="shared" ca="1" si="10"/>
        <v>65935.544999999998</v>
      </c>
      <c r="H66" s="336">
        <f t="shared" ca="1" si="11"/>
        <v>15890466.4143</v>
      </c>
      <c r="I66" s="337">
        <f t="shared" ca="1" si="4"/>
        <v>-15890466</v>
      </c>
      <c r="J66" s="1"/>
      <c r="K66" s="1"/>
      <c r="L66" s="1"/>
      <c r="M66" s="1"/>
      <c r="N66" s="1"/>
      <c r="O66" s="1"/>
      <c r="P66" s="1"/>
      <c r="Q66" s="1"/>
      <c r="R66" s="1"/>
      <c r="S66" s="1"/>
      <c r="T66" s="1"/>
      <c r="U66" s="1"/>
      <c r="V66" s="1"/>
    </row>
    <row r="67" spans="1:22">
      <c r="A67" s="335">
        <f t="shared" si="2"/>
        <v>50</v>
      </c>
      <c r="B67" s="340">
        <f t="shared" si="13"/>
        <v>47788</v>
      </c>
      <c r="C67" s="336">
        <f t="shared" ca="1" si="8"/>
        <v>15890466.4143</v>
      </c>
      <c r="D67" s="336"/>
      <c r="E67" s="336">
        <f t="shared" si="20"/>
        <v>0</v>
      </c>
      <c r="F67" s="336">
        <f t="shared" ca="1" si="3"/>
        <v>-66210.277000000002</v>
      </c>
      <c r="G67" s="336">
        <f t="shared" ca="1" si="10"/>
        <v>66210.277000000002</v>
      </c>
      <c r="H67" s="336">
        <f t="shared" ca="1" si="11"/>
        <v>15956676.691299999</v>
      </c>
      <c r="I67" s="337">
        <f t="shared" ca="1" si="4"/>
        <v>-15956677</v>
      </c>
      <c r="J67" s="1"/>
      <c r="K67" s="1"/>
      <c r="L67" s="1"/>
      <c r="M67" s="1"/>
      <c r="N67" s="1"/>
      <c r="O67" s="1"/>
      <c r="P67" s="1"/>
      <c r="Q67" s="1"/>
      <c r="R67" s="1"/>
      <c r="S67" s="1"/>
      <c r="T67" s="1"/>
      <c r="U67" s="1"/>
      <c r="V67" s="1"/>
    </row>
    <row r="68" spans="1:22">
      <c r="A68" s="335">
        <f t="shared" si="2"/>
        <v>51</v>
      </c>
      <c r="B68" s="340">
        <f t="shared" si="13"/>
        <v>47818</v>
      </c>
      <c r="C68" s="336">
        <f t="shared" ca="1" si="8"/>
        <v>15956676.691299999</v>
      </c>
      <c r="D68" s="335"/>
      <c r="E68" s="336">
        <f t="shared" ca="1" si="20"/>
        <v>367881.5</v>
      </c>
      <c r="F68" s="336">
        <f t="shared" ca="1" si="3"/>
        <v>302928.18699999998</v>
      </c>
      <c r="G68" s="336">
        <f t="shared" ca="1" si="10"/>
        <v>64953.313000000002</v>
      </c>
      <c r="H68" s="336">
        <f t="shared" ca="1" si="11"/>
        <v>15653748.5043</v>
      </c>
      <c r="I68" s="337">
        <f t="shared" ca="1" si="4"/>
        <v>-15653749</v>
      </c>
      <c r="J68" s="1"/>
      <c r="K68" s="1"/>
      <c r="L68" s="1"/>
      <c r="M68" s="1"/>
      <c r="N68" s="1"/>
      <c r="O68" s="1"/>
      <c r="P68" s="1"/>
      <c r="Q68" s="1"/>
      <c r="R68" s="1"/>
      <c r="S68" s="1"/>
      <c r="T68" s="1"/>
      <c r="U68" s="1"/>
      <c r="V68" s="1"/>
    </row>
    <row r="69" spans="1:22">
      <c r="A69" s="335">
        <f t="shared" si="2"/>
        <v>52</v>
      </c>
      <c r="B69" s="340">
        <f t="shared" si="13"/>
        <v>47849</v>
      </c>
      <c r="C69" s="336">
        <f t="shared" ca="1" si="8"/>
        <v>15653748.5043</v>
      </c>
      <c r="D69" s="335"/>
      <c r="E69" s="336">
        <f t="shared" si="20"/>
        <v>0</v>
      </c>
      <c r="F69" s="336">
        <f t="shared" ca="1" si="3"/>
        <v>-65223.951999999997</v>
      </c>
      <c r="G69" s="336">
        <f t="shared" ca="1" si="10"/>
        <v>65223.951999999997</v>
      </c>
      <c r="H69" s="336">
        <f t="shared" ca="1" si="11"/>
        <v>15718972.4563</v>
      </c>
      <c r="I69" s="337">
        <f t="shared" ca="1" si="4"/>
        <v>-15718972</v>
      </c>
      <c r="J69" s="1"/>
      <c r="K69" s="1"/>
      <c r="L69" s="1"/>
      <c r="M69" s="1"/>
      <c r="N69" s="1"/>
      <c r="O69" s="1"/>
      <c r="P69" s="1"/>
      <c r="Q69" s="1"/>
      <c r="R69" s="1"/>
      <c r="S69" s="1"/>
      <c r="T69" s="1"/>
      <c r="U69" s="1"/>
      <c r="V69" s="1"/>
    </row>
    <row r="70" spans="1:22">
      <c r="A70" s="335">
        <f t="shared" si="2"/>
        <v>53</v>
      </c>
      <c r="B70" s="340">
        <f t="shared" si="13"/>
        <v>47880</v>
      </c>
      <c r="C70" s="336">
        <f t="shared" ca="1" si="8"/>
        <v>15718972.4563</v>
      </c>
      <c r="D70" s="335"/>
      <c r="E70" s="336">
        <f t="shared" si="20"/>
        <v>0</v>
      </c>
      <c r="F70" s="336">
        <f t="shared" ca="1" si="3"/>
        <v>-65495.718999999997</v>
      </c>
      <c r="G70" s="336">
        <f t="shared" ca="1" si="10"/>
        <v>65495.718999999997</v>
      </c>
      <c r="H70" s="336">
        <f t="shared" ca="1" si="11"/>
        <v>15784468.1753</v>
      </c>
      <c r="I70" s="337">
        <f t="shared" ca="1" si="4"/>
        <v>-15784468</v>
      </c>
      <c r="J70" s="1"/>
      <c r="K70" s="1"/>
      <c r="L70" s="1"/>
      <c r="M70" s="1"/>
      <c r="N70" s="1"/>
      <c r="O70" s="1"/>
      <c r="P70" s="1"/>
      <c r="Q70" s="1"/>
      <c r="R70" s="1"/>
      <c r="S70" s="1"/>
      <c r="T70" s="1"/>
      <c r="U70" s="1"/>
      <c r="V70" s="1"/>
    </row>
    <row r="71" spans="1:22">
      <c r="A71" s="335">
        <f t="shared" si="2"/>
        <v>54</v>
      </c>
      <c r="B71" s="340">
        <f t="shared" si="13"/>
        <v>47908</v>
      </c>
      <c r="C71" s="336">
        <f t="shared" ca="1" si="8"/>
        <v>15784468.1753</v>
      </c>
      <c r="D71" s="335"/>
      <c r="E71" s="336">
        <f t="shared" ca="1" si="20"/>
        <v>367881.5</v>
      </c>
      <c r="F71" s="336">
        <f t="shared" ca="1" si="3"/>
        <v>303645.72200000001</v>
      </c>
      <c r="G71" s="336">
        <f t="shared" ca="1" si="10"/>
        <v>64235.777999999998</v>
      </c>
      <c r="H71" s="336">
        <f t="shared" ca="1" si="11"/>
        <v>15480822.453299999</v>
      </c>
      <c r="I71" s="337">
        <f t="shared" ca="1" si="4"/>
        <v>-15480822</v>
      </c>
      <c r="R71" s="1"/>
      <c r="S71" s="1"/>
      <c r="T71" s="1"/>
      <c r="U71" s="1"/>
      <c r="V71" s="1"/>
    </row>
    <row r="72" spans="1:22">
      <c r="A72" s="335">
        <f t="shared" si="2"/>
        <v>55</v>
      </c>
      <c r="B72" s="340">
        <f t="shared" si="13"/>
        <v>47939</v>
      </c>
      <c r="C72" s="336">
        <f t="shared" ca="1" si="8"/>
        <v>15480822.453299999</v>
      </c>
      <c r="D72" s="335"/>
      <c r="E72" s="336">
        <f t="shared" si="20"/>
        <v>0</v>
      </c>
      <c r="F72" s="336">
        <f t="shared" ca="1" si="3"/>
        <v>-64503.427000000003</v>
      </c>
      <c r="G72" s="336">
        <f t="shared" ca="1" si="10"/>
        <v>64503.427000000003</v>
      </c>
      <c r="H72" s="336">
        <f t="shared" ca="1" si="11"/>
        <v>15545325.8803</v>
      </c>
      <c r="I72" s="337">
        <f t="shared" ca="1" si="4"/>
        <v>-15545326</v>
      </c>
      <c r="Q72" s="1"/>
      <c r="R72" s="1"/>
      <c r="S72" s="1"/>
      <c r="T72" s="1"/>
      <c r="U72" s="1"/>
      <c r="V72" s="1"/>
    </row>
    <row r="73" spans="1:22">
      <c r="A73" s="335">
        <f t="shared" si="2"/>
        <v>56</v>
      </c>
      <c r="B73" s="340">
        <f t="shared" si="13"/>
        <v>47969</v>
      </c>
      <c r="C73" s="336">
        <f t="shared" ca="1" si="8"/>
        <v>15545325.8803</v>
      </c>
      <c r="D73" s="335"/>
      <c r="E73" s="336">
        <f t="shared" si="20"/>
        <v>0</v>
      </c>
      <c r="F73" s="336">
        <f t="shared" ca="1" si="3"/>
        <v>-64772.190999999999</v>
      </c>
      <c r="G73" s="336">
        <f t="shared" ca="1" si="10"/>
        <v>64772.190999999999</v>
      </c>
      <c r="H73" s="336">
        <f t="shared" ca="1" si="11"/>
        <v>15610098.0713</v>
      </c>
      <c r="I73" s="337">
        <f t="shared" ca="1" si="4"/>
        <v>-15610098</v>
      </c>
    </row>
    <row r="74" spans="1:22">
      <c r="A74" s="335">
        <f t="shared" si="2"/>
        <v>57</v>
      </c>
      <c r="B74" s="340">
        <f t="shared" si="13"/>
        <v>48000</v>
      </c>
      <c r="C74" s="336">
        <f t="shared" ca="1" si="8"/>
        <v>15610098.0713</v>
      </c>
      <c r="D74" s="335"/>
      <c r="E74" s="336">
        <f t="shared" ca="1" si="20"/>
        <v>367881.5</v>
      </c>
      <c r="F74" s="336">
        <f t="shared" ca="1" si="3"/>
        <v>304372.26400000002</v>
      </c>
      <c r="G74" s="336">
        <f t="shared" ca="1" si="10"/>
        <v>63509.235999999997</v>
      </c>
      <c r="H74" s="336">
        <f t="shared" ca="1" si="11"/>
        <v>15305725.8073</v>
      </c>
      <c r="I74" s="337">
        <f t="shared" ca="1" si="4"/>
        <v>-15305726</v>
      </c>
    </row>
    <row r="75" spans="1:22">
      <c r="A75" s="335">
        <f t="shared" si="2"/>
        <v>58</v>
      </c>
      <c r="B75" s="340">
        <f t="shared" si="13"/>
        <v>48030</v>
      </c>
      <c r="C75" s="336">
        <f t="shared" ca="1" si="8"/>
        <v>15305725.8073</v>
      </c>
      <c r="D75" s="335"/>
      <c r="E75" s="336">
        <f t="shared" si="20"/>
        <v>0</v>
      </c>
      <c r="F75" s="336">
        <f t="shared" ca="1" si="3"/>
        <v>-63773.858</v>
      </c>
      <c r="G75" s="336">
        <f t="shared" ca="1" si="10"/>
        <v>63773.858</v>
      </c>
      <c r="H75" s="336">
        <f t="shared" ca="1" si="11"/>
        <v>15369499.6653</v>
      </c>
      <c r="I75" s="337">
        <f t="shared" ca="1" si="4"/>
        <v>-15369500</v>
      </c>
    </row>
    <row r="76" spans="1:22">
      <c r="A76" s="335">
        <f t="shared" si="2"/>
        <v>59</v>
      </c>
      <c r="B76" s="340">
        <f t="shared" si="13"/>
        <v>48061</v>
      </c>
      <c r="C76" s="336">
        <f t="shared" ca="1" si="8"/>
        <v>15369499.6653</v>
      </c>
      <c r="D76" s="335"/>
      <c r="E76" s="336">
        <f t="shared" si="20"/>
        <v>0</v>
      </c>
      <c r="F76" s="336">
        <f t="shared" ca="1" si="3"/>
        <v>-64039.582000000002</v>
      </c>
      <c r="G76" s="336">
        <f t="shared" ca="1" si="10"/>
        <v>64039.582000000002</v>
      </c>
      <c r="H76" s="336">
        <f t="shared" ca="1" si="11"/>
        <v>15433539.247300001</v>
      </c>
      <c r="I76" s="337">
        <f t="shared" ca="1" si="4"/>
        <v>-15433539</v>
      </c>
    </row>
    <row r="77" spans="1:22">
      <c r="A77" s="335">
        <f t="shared" si="2"/>
        <v>60</v>
      </c>
      <c r="B77" s="340">
        <f t="shared" si="13"/>
        <v>48092</v>
      </c>
      <c r="C77" s="336">
        <f t="shared" ca="1" si="8"/>
        <v>15433539.247300001</v>
      </c>
      <c r="D77" s="336">
        <f ca="1">IF(H77&lt;0,0,0.25*(K22-L22))</f>
        <v>375311.5</v>
      </c>
      <c r="E77" s="336">
        <f t="shared" ca="1" si="20"/>
        <v>367881.5</v>
      </c>
      <c r="F77" s="336">
        <f t="shared" ca="1" si="3"/>
        <v>305107.92599999998</v>
      </c>
      <c r="G77" s="336">
        <f t="shared" ca="1" si="10"/>
        <v>62773.574000000001</v>
      </c>
      <c r="H77" s="336">
        <f t="shared" ca="1" si="11"/>
        <v>15128431.3213</v>
      </c>
      <c r="I77" s="337">
        <f t="shared" ca="1" si="4"/>
        <v>-14753120</v>
      </c>
    </row>
    <row r="78" spans="1:22">
      <c r="A78" s="335">
        <f t="shared" si="2"/>
        <v>61</v>
      </c>
      <c r="B78" s="340">
        <f t="shared" si="13"/>
        <v>48122</v>
      </c>
      <c r="C78" s="336">
        <f t="shared" ca="1" si="8"/>
        <v>15128431.3213</v>
      </c>
      <c r="D78" s="336"/>
      <c r="E78" s="336">
        <f t="shared" ref="E78:E89" si="21">IF($D$10=1,
 IF(OR(MONTH(B78)=MONTH(EDATE($D$7,0)),MONTH(B78)=MONTH(EDATE($D$7,3)),MONTH(B78)=MONTH(EDATE($D$7,6)),MONTH(B78)=MONTH(EDATE($D$7,9))),(MIN($D$77,H77)),0),
IF($D$10=0,
 IF(OR(MONTH(B78)=MONTH(EDATE($D$7,2)),MONTH(B78)=MONTH(EDATE($D$7,5)),MONTH(B78)=MONTH(EDATE($D$7,8)),MONTH(B78)=MONTH(EDATE($D$7,11))),(MIN($D$77,H77)),0)))</f>
        <v>0</v>
      </c>
      <c r="F78" s="336">
        <f t="shared" ca="1" si="3"/>
        <v>-63035.131000000001</v>
      </c>
      <c r="G78" s="336">
        <f t="shared" ca="1" si="10"/>
        <v>63035.131000000001</v>
      </c>
      <c r="H78" s="336">
        <f t="shared" ca="1" si="11"/>
        <v>15191466.452299999</v>
      </c>
      <c r="I78" s="337">
        <f t="shared" ca="1" si="4"/>
        <v>-15191466</v>
      </c>
    </row>
    <row r="79" spans="1:22">
      <c r="A79" s="335">
        <f t="shared" si="2"/>
        <v>62</v>
      </c>
      <c r="B79" s="340">
        <f t="shared" si="13"/>
        <v>48153</v>
      </c>
      <c r="C79" s="336">
        <f t="shared" ca="1" si="8"/>
        <v>15191466.452299999</v>
      </c>
      <c r="D79" s="336"/>
      <c r="E79" s="336">
        <f t="shared" si="21"/>
        <v>0</v>
      </c>
      <c r="F79" s="336">
        <f t="shared" ca="1" si="3"/>
        <v>-63297.777000000002</v>
      </c>
      <c r="G79" s="336">
        <f t="shared" ca="1" si="10"/>
        <v>63297.777000000002</v>
      </c>
      <c r="H79" s="336">
        <f t="shared" ca="1" si="11"/>
        <v>15254764.2293</v>
      </c>
      <c r="I79" s="337">
        <f t="shared" ca="1" si="4"/>
        <v>-15254764</v>
      </c>
    </row>
    <row r="80" spans="1:22">
      <c r="A80" s="335">
        <f t="shared" si="2"/>
        <v>63</v>
      </c>
      <c r="B80" s="340">
        <f t="shared" si="13"/>
        <v>48183</v>
      </c>
      <c r="C80" s="336">
        <f t="shared" ca="1" si="8"/>
        <v>15254764.2293</v>
      </c>
      <c r="D80" s="335"/>
      <c r="E80" s="336">
        <f t="shared" ca="1" si="21"/>
        <v>375311.5</v>
      </c>
      <c r="F80" s="336">
        <f t="shared" ca="1" si="3"/>
        <v>313313.78000000003</v>
      </c>
      <c r="G80" s="336">
        <f t="shared" ca="1" si="10"/>
        <v>61997.72</v>
      </c>
      <c r="H80" s="336">
        <f t="shared" ca="1" si="11"/>
        <v>14941450.4493</v>
      </c>
      <c r="I80" s="337">
        <f t="shared" ca="1" si="4"/>
        <v>-14941450</v>
      </c>
    </row>
    <row r="81" spans="1:9">
      <c r="A81" s="335">
        <f t="shared" si="2"/>
        <v>64</v>
      </c>
      <c r="B81" s="340">
        <f t="shared" si="13"/>
        <v>48214</v>
      </c>
      <c r="C81" s="336">
        <f t="shared" ca="1" si="8"/>
        <v>14941450.4493</v>
      </c>
      <c r="D81" s="335"/>
      <c r="E81" s="336">
        <f t="shared" si="21"/>
        <v>0</v>
      </c>
      <c r="F81" s="336">
        <f t="shared" ca="1" si="3"/>
        <v>-62256.044000000002</v>
      </c>
      <c r="G81" s="336">
        <f t="shared" ca="1" si="10"/>
        <v>62256.044000000002</v>
      </c>
      <c r="H81" s="336">
        <f t="shared" ca="1" si="11"/>
        <v>15003706.4933</v>
      </c>
      <c r="I81" s="337">
        <f t="shared" ca="1" si="4"/>
        <v>-15003706</v>
      </c>
    </row>
    <row r="82" spans="1:9">
      <c r="A82" s="335">
        <f t="shared" ref="A82:A145" si="22">IF(A81="","",IF(A81=$D$6,"",A81+1))</f>
        <v>65</v>
      </c>
      <c r="B82" s="340">
        <f t="shared" si="13"/>
        <v>48245</v>
      </c>
      <c r="C82" s="336">
        <f t="shared" ca="1" si="8"/>
        <v>15003706.4933</v>
      </c>
      <c r="D82" s="335"/>
      <c r="E82" s="336">
        <f t="shared" si="21"/>
        <v>0</v>
      </c>
      <c r="F82" s="336">
        <f t="shared" ref="F82:F145" ca="1" si="23">IF(E82="","",E82-G82)</f>
        <v>-62515.444000000003</v>
      </c>
      <c r="G82" s="336">
        <f t="shared" ca="1" si="10"/>
        <v>62515.444000000003</v>
      </c>
      <c r="H82" s="336">
        <f t="shared" ca="1" si="11"/>
        <v>15066221.9373</v>
      </c>
      <c r="I82" s="337">
        <f t="shared" ref="I82:I145" ca="1" si="24">ROUND((D82-H82),0)</f>
        <v>-15066222</v>
      </c>
    </row>
    <row r="83" spans="1:9">
      <c r="A83" s="335">
        <f t="shared" si="22"/>
        <v>66</v>
      </c>
      <c r="B83" s="340">
        <f t="shared" si="13"/>
        <v>48274</v>
      </c>
      <c r="C83" s="336">
        <f t="shared" ref="C83:C146" ca="1" si="25">IF(H82=0,0,H82)</f>
        <v>15066221.9373</v>
      </c>
      <c r="D83" s="335"/>
      <c r="E83" s="336">
        <f t="shared" ca="1" si="21"/>
        <v>375311.5</v>
      </c>
      <c r="F83" s="336">
        <f t="shared" ca="1" si="23"/>
        <v>314099.37300000002</v>
      </c>
      <c r="G83" s="336">
        <f t="shared" ref="G83:G146" ca="1" si="26">ROUND((C83-E83)*$D$5,3)</f>
        <v>61212.127</v>
      </c>
      <c r="H83" s="336">
        <f t="shared" ref="H83:H146" ca="1" si="27">IF(E83="","",ROUND(H82-F83,4))</f>
        <v>14752122.564300001</v>
      </c>
      <c r="I83" s="337">
        <f t="shared" ca="1" si="24"/>
        <v>-14752123</v>
      </c>
    </row>
    <row r="84" spans="1:9">
      <c r="A84" s="335">
        <f t="shared" si="22"/>
        <v>67</v>
      </c>
      <c r="B84" s="340">
        <f t="shared" ref="B84:B147" si="28">DATE(YEAR(B83),MONTH(B83)+1,1)</f>
        <v>48305</v>
      </c>
      <c r="C84" s="336">
        <f t="shared" ca="1" si="25"/>
        <v>14752122.564300001</v>
      </c>
      <c r="D84" s="335"/>
      <c r="E84" s="336">
        <f t="shared" si="21"/>
        <v>0</v>
      </c>
      <c r="F84" s="336">
        <f t="shared" ca="1" si="23"/>
        <v>-61467.177000000003</v>
      </c>
      <c r="G84" s="336">
        <f t="shared" ca="1" si="26"/>
        <v>61467.177000000003</v>
      </c>
      <c r="H84" s="336">
        <f t="shared" ca="1" si="27"/>
        <v>14813589.7413</v>
      </c>
      <c r="I84" s="337">
        <f t="shared" ca="1" si="24"/>
        <v>-14813590</v>
      </c>
    </row>
    <row r="85" spans="1:9">
      <c r="A85" s="335">
        <f t="shared" si="22"/>
        <v>68</v>
      </c>
      <c r="B85" s="340">
        <f t="shared" si="28"/>
        <v>48335</v>
      </c>
      <c r="C85" s="336">
        <f t="shared" ca="1" si="25"/>
        <v>14813589.7413</v>
      </c>
      <c r="D85" s="335"/>
      <c r="E85" s="336">
        <f t="shared" si="21"/>
        <v>0</v>
      </c>
      <c r="F85" s="336">
        <f t="shared" ca="1" si="23"/>
        <v>-61723.290999999997</v>
      </c>
      <c r="G85" s="336">
        <f t="shared" ca="1" si="26"/>
        <v>61723.290999999997</v>
      </c>
      <c r="H85" s="336">
        <f t="shared" ca="1" si="27"/>
        <v>14875313.032299999</v>
      </c>
      <c r="I85" s="337">
        <f t="shared" ca="1" si="24"/>
        <v>-14875313</v>
      </c>
    </row>
    <row r="86" spans="1:9">
      <c r="A86" s="335">
        <f t="shared" si="22"/>
        <v>69</v>
      </c>
      <c r="B86" s="340">
        <f t="shared" si="28"/>
        <v>48366</v>
      </c>
      <c r="C86" s="336">
        <f t="shared" ca="1" si="25"/>
        <v>14875313.032299999</v>
      </c>
      <c r="D86" s="335"/>
      <c r="E86" s="336">
        <f t="shared" ca="1" si="21"/>
        <v>375311.5</v>
      </c>
      <c r="F86" s="336">
        <f t="shared" ca="1" si="23"/>
        <v>314894.82699999999</v>
      </c>
      <c r="G86" s="336">
        <f t="shared" ca="1" si="26"/>
        <v>60416.673000000003</v>
      </c>
      <c r="H86" s="336">
        <f t="shared" ca="1" si="27"/>
        <v>14560418.2053</v>
      </c>
      <c r="I86" s="337">
        <f t="shared" ca="1" si="24"/>
        <v>-14560418</v>
      </c>
    </row>
    <row r="87" spans="1:9">
      <c r="A87" s="335">
        <f t="shared" si="22"/>
        <v>70</v>
      </c>
      <c r="B87" s="340">
        <f t="shared" si="28"/>
        <v>48396</v>
      </c>
      <c r="C87" s="336">
        <f t="shared" ca="1" si="25"/>
        <v>14560418.2053</v>
      </c>
      <c r="D87" s="335"/>
      <c r="E87" s="336">
        <f t="shared" si="21"/>
        <v>0</v>
      </c>
      <c r="F87" s="336">
        <f t="shared" ca="1" si="23"/>
        <v>-60668.409</v>
      </c>
      <c r="G87" s="336">
        <f t="shared" ca="1" si="26"/>
        <v>60668.409</v>
      </c>
      <c r="H87" s="336">
        <f t="shared" ca="1" si="27"/>
        <v>14621086.6143</v>
      </c>
      <c r="I87" s="337">
        <f t="shared" ca="1" si="24"/>
        <v>-14621087</v>
      </c>
    </row>
    <row r="88" spans="1:9">
      <c r="A88" s="335">
        <f t="shared" si="22"/>
        <v>71</v>
      </c>
      <c r="B88" s="340">
        <f t="shared" si="28"/>
        <v>48427</v>
      </c>
      <c r="C88" s="336">
        <f t="shared" ca="1" si="25"/>
        <v>14621086.6143</v>
      </c>
      <c r="D88" s="335"/>
      <c r="E88" s="336">
        <f t="shared" si="21"/>
        <v>0</v>
      </c>
      <c r="F88" s="336">
        <f t="shared" ca="1" si="23"/>
        <v>-60921.194000000003</v>
      </c>
      <c r="G88" s="336">
        <f t="shared" ca="1" si="26"/>
        <v>60921.194000000003</v>
      </c>
      <c r="H88" s="336">
        <f t="shared" ca="1" si="27"/>
        <v>14682007.8083</v>
      </c>
      <c r="I88" s="337">
        <f t="shared" ca="1" si="24"/>
        <v>-14682008</v>
      </c>
    </row>
    <row r="89" spans="1:9">
      <c r="A89" s="335">
        <f t="shared" si="22"/>
        <v>72</v>
      </c>
      <c r="B89" s="340">
        <f t="shared" si="28"/>
        <v>48458</v>
      </c>
      <c r="C89" s="336">
        <f t="shared" ca="1" si="25"/>
        <v>14682007.8083</v>
      </c>
      <c r="D89" s="336">
        <f ca="1">IF(H89&lt;0,0,0.25*(K23-L23))</f>
        <v>382932</v>
      </c>
      <c r="E89" s="336">
        <f t="shared" ca="1" si="21"/>
        <v>375311.5</v>
      </c>
      <c r="F89" s="336">
        <f t="shared" ca="1" si="23"/>
        <v>315700.26500000001</v>
      </c>
      <c r="G89" s="336">
        <f t="shared" ca="1" si="26"/>
        <v>59611.235000000001</v>
      </c>
      <c r="H89" s="336">
        <f t="shared" ca="1" si="27"/>
        <v>14366307.543299999</v>
      </c>
      <c r="I89" s="337">
        <f t="shared" ca="1" si="24"/>
        <v>-13983376</v>
      </c>
    </row>
    <row r="90" spans="1:9">
      <c r="A90" s="335">
        <f t="shared" si="22"/>
        <v>73</v>
      </c>
      <c r="B90" s="340">
        <f t="shared" si="28"/>
        <v>48488</v>
      </c>
      <c r="C90" s="336">
        <f t="shared" ca="1" si="25"/>
        <v>14366307.543299999</v>
      </c>
      <c r="D90" s="336"/>
      <c r="E90" s="336">
        <f t="shared" ref="E90:E101" si="29">IF($D$10=1,
 IF(OR(MONTH(B90)=MONTH(EDATE($D$7,0)),MONTH(B90)=MONTH(EDATE($D$7,3)),MONTH(B90)=MONTH(EDATE($D$7,6)),MONTH(B90)=MONTH(EDATE($D$7,9))),(MIN($D$89,H89)),0),
IF($D$10=0,
 IF(OR(MONTH(B90)=MONTH(EDATE($D$7,2)),MONTH(B90)=MONTH(EDATE($D$7,5)),MONTH(B90)=MONTH(EDATE($D$7,8)),MONTH(B90)=MONTH(EDATE($D$7,11))),(MIN($D$89,H89)),0)))</f>
        <v>0</v>
      </c>
      <c r="F90" s="336">
        <f t="shared" ca="1" si="23"/>
        <v>-59859.614999999998</v>
      </c>
      <c r="G90" s="336">
        <f t="shared" ca="1" si="26"/>
        <v>59859.614999999998</v>
      </c>
      <c r="H90" s="336">
        <f t="shared" ca="1" si="27"/>
        <v>14426167.158299999</v>
      </c>
      <c r="I90" s="337">
        <f t="shared" ca="1" si="24"/>
        <v>-14426167</v>
      </c>
    </row>
    <row r="91" spans="1:9">
      <c r="A91" s="335">
        <f t="shared" si="22"/>
        <v>74</v>
      </c>
      <c r="B91" s="340">
        <f t="shared" si="28"/>
        <v>48519</v>
      </c>
      <c r="C91" s="336">
        <f t="shared" ca="1" si="25"/>
        <v>14426167.158299999</v>
      </c>
      <c r="D91" s="336"/>
      <c r="E91" s="336">
        <f t="shared" si="29"/>
        <v>0</v>
      </c>
      <c r="F91" s="336">
        <f t="shared" ca="1" si="23"/>
        <v>-60109.03</v>
      </c>
      <c r="G91" s="336">
        <f t="shared" ca="1" si="26"/>
        <v>60109.03</v>
      </c>
      <c r="H91" s="336">
        <f t="shared" ca="1" si="27"/>
        <v>14486276.188300001</v>
      </c>
      <c r="I91" s="337">
        <f t="shared" ca="1" si="24"/>
        <v>-14486276</v>
      </c>
    </row>
    <row r="92" spans="1:9">
      <c r="A92" s="335">
        <f t="shared" si="22"/>
        <v>75</v>
      </c>
      <c r="B92" s="340">
        <f t="shared" si="28"/>
        <v>48549</v>
      </c>
      <c r="C92" s="336">
        <f t="shared" ca="1" si="25"/>
        <v>14486276.188300001</v>
      </c>
      <c r="D92" s="335"/>
      <c r="E92" s="336">
        <f t="shared" ca="1" si="29"/>
        <v>382932</v>
      </c>
      <c r="F92" s="336">
        <f t="shared" ca="1" si="23"/>
        <v>324168.06599999999</v>
      </c>
      <c r="G92" s="336">
        <f t="shared" ca="1" si="26"/>
        <v>58763.934000000001</v>
      </c>
      <c r="H92" s="336">
        <f t="shared" ca="1" si="27"/>
        <v>14162108.122300001</v>
      </c>
      <c r="I92" s="337">
        <f t="shared" ca="1" si="24"/>
        <v>-14162108</v>
      </c>
    </row>
    <row r="93" spans="1:9">
      <c r="A93" s="335">
        <f t="shared" si="22"/>
        <v>76</v>
      </c>
      <c r="B93" s="340">
        <f t="shared" si="28"/>
        <v>48580</v>
      </c>
      <c r="C93" s="336">
        <f t="shared" ca="1" si="25"/>
        <v>14162108.122300001</v>
      </c>
      <c r="D93" s="335"/>
      <c r="E93" s="336">
        <f t="shared" si="29"/>
        <v>0</v>
      </c>
      <c r="F93" s="336">
        <f t="shared" ca="1" si="23"/>
        <v>-59008.784</v>
      </c>
      <c r="G93" s="336">
        <f t="shared" ca="1" si="26"/>
        <v>59008.784</v>
      </c>
      <c r="H93" s="336">
        <f t="shared" ca="1" si="27"/>
        <v>14221116.906300001</v>
      </c>
      <c r="I93" s="337">
        <f t="shared" ca="1" si="24"/>
        <v>-14221117</v>
      </c>
    </row>
    <row r="94" spans="1:9">
      <c r="A94" s="335">
        <f t="shared" si="22"/>
        <v>77</v>
      </c>
      <c r="B94" s="340">
        <f t="shared" si="28"/>
        <v>48611</v>
      </c>
      <c r="C94" s="336">
        <f t="shared" ca="1" si="25"/>
        <v>14221116.906300001</v>
      </c>
      <c r="D94" s="335"/>
      <c r="E94" s="336">
        <f t="shared" si="29"/>
        <v>0</v>
      </c>
      <c r="F94" s="336">
        <f t="shared" ca="1" si="23"/>
        <v>-59254.654000000002</v>
      </c>
      <c r="G94" s="336">
        <f t="shared" ca="1" si="26"/>
        <v>59254.654000000002</v>
      </c>
      <c r="H94" s="336">
        <f t="shared" ca="1" si="27"/>
        <v>14280371.5603</v>
      </c>
      <c r="I94" s="337">
        <f t="shared" ca="1" si="24"/>
        <v>-14280372</v>
      </c>
    </row>
    <row r="95" spans="1:9">
      <c r="A95" s="335">
        <f t="shared" si="22"/>
        <v>78</v>
      </c>
      <c r="B95" s="340">
        <f t="shared" si="28"/>
        <v>48639</v>
      </c>
      <c r="C95" s="336">
        <f t="shared" ca="1" si="25"/>
        <v>14280371.5603</v>
      </c>
      <c r="D95" s="335"/>
      <c r="E95" s="336">
        <f t="shared" ca="1" si="29"/>
        <v>382932</v>
      </c>
      <c r="F95" s="336">
        <f t="shared" ca="1" si="23"/>
        <v>325026.00199999998</v>
      </c>
      <c r="G95" s="336">
        <f t="shared" ca="1" si="26"/>
        <v>57905.998</v>
      </c>
      <c r="H95" s="336">
        <f t="shared" ca="1" si="27"/>
        <v>13955345.5583</v>
      </c>
      <c r="I95" s="337">
        <f t="shared" ca="1" si="24"/>
        <v>-13955346</v>
      </c>
    </row>
    <row r="96" spans="1:9">
      <c r="A96" s="335">
        <f t="shared" si="22"/>
        <v>79</v>
      </c>
      <c r="B96" s="340">
        <f t="shared" si="28"/>
        <v>48670</v>
      </c>
      <c r="C96" s="336">
        <f t="shared" ca="1" si="25"/>
        <v>13955345.5583</v>
      </c>
      <c r="D96" s="335"/>
      <c r="E96" s="336">
        <f t="shared" si="29"/>
        <v>0</v>
      </c>
      <c r="F96" s="336">
        <f t="shared" ca="1" si="23"/>
        <v>-58147.273000000001</v>
      </c>
      <c r="G96" s="336">
        <f t="shared" ca="1" si="26"/>
        <v>58147.273000000001</v>
      </c>
      <c r="H96" s="336">
        <f t="shared" ca="1" si="27"/>
        <v>14013492.8313</v>
      </c>
      <c r="I96" s="337">
        <f t="shared" ca="1" si="24"/>
        <v>-14013493</v>
      </c>
    </row>
    <row r="97" spans="1:9">
      <c r="A97" s="335">
        <f t="shared" si="22"/>
        <v>80</v>
      </c>
      <c r="B97" s="340">
        <f t="shared" si="28"/>
        <v>48700</v>
      </c>
      <c r="C97" s="336">
        <f t="shared" ca="1" si="25"/>
        <v>14013492.8313</v>
      </c>
      <c r="D97" s="335"/>
      <c r="E97" s="336">
        <f t="shared" si="29"/>
        <v>0</v>
      </c>
      <c r="F97" s="336">
        <f t="shared" ca="1" si="23"/>
        <v>-58389.553</v>
      </c>
      <c r="G97" s="336">
        <f t="shared" ca="1" si="26"/>
        <v>58389.553</v>
      </c>
      <c r="H97" s="336">
        <f t="shared" ca="1" si="27"/>
        <v>14071882.384299999</v>
      </c>
      <c r="I97" s="337">
        <f t="shared" ca="1" si="24"/>
        <v>-14071882</v>
      </c>
    </row>
    <row r="98" spans="1:9">
      <c r="A98" s="335">
        <f t="shared" si="22"/>
        <v>81</v>
      </c>
      <c r="B98" s="340">
        <f t="shared" si="28"/>
        <v>48731</v>
      </c>
      <c r="C98" s="336">
        <f t="shared" ca="1" si="25"/>
        <v>14071882.384299999</v>
      </c>
      <c r="D98" s="335"/>
      <c r="E98" s="336">
        <f t="shared" ca="1" si="29"/>
        <v>382932</v>
      </c>
      <c r="F98" s="336">
        <f t="shared" ca="1" si="23"/>
        <v>325894.70699999999</v>
      </c>
      <c r="G98" s="336">
        <f t="shared" ca="1" si="26"/>
        <v>57037.292999999998</v>
      </c>
      <c r="H98" s="336">
        <f t="shared" ca="1" si="27"/>
        <v>13745987.677300001</v>
      </c>
      <c r="I98" s="337">
        <f t="shared" ca="1" si="24"/>
        <v>-13745988</v>
      </c>
    </row>
    <row r="99" spans="1:9">
      <c r="A99" s="335">
        <f t="shared" si="22"/>
        <v>82</v>
      </c>
      <c r="B99" s="340">
        <f t="shared" si="28"/>
        <v>48761</v>
      </c>
      <c r="C99" s="336">
        <f t="shared" ca="1" si="25"/>
        <v>13745987.677300001</v>
      </c>
      <c r="D99" s="335"/>
      <c r="E99" s="336">
        <f t="shared" si="29"/>
        <v>0</v>
      </c>
      <c r="F99" s="336">
        <f t="shared" ca="1" si="23"/>
        <v>-57274.949000000001</v>
      </c>
      <c r="G99" s="336">
        <f t="shared" ca="1" si="26"/>
        <v>57274.949000000001</v>
      </c>
      <c r="H99" s="336">
        <f t="shared" ca="1" si="27"/>
        <v>13803262.6263</v>
      </c>
      <c r="I99" s="337">
        <f t="shared" ca="1" si="24"/>
        <v>-13803263</v>
      </c>
    </row>
    <row r="100" spans="1:9">
      <c r="A100" s="335">
        <f t="shared" si="22"/>
        <v>83</v>
      </c>
      <c r="B100" s="340">
        <f t="shared" si="28"/>
        <v>48792</v>
      </c>
      <c r="C100" s="336">
        <f t="shared" ca="1" si="25"/>
        <v>13803262.6263</v>
      </c>
      <c r="D100" s="335"/>
      <c r="E100" s="336">
        <f t="shared" si="29"/>
        <v>0</v>
      </c>
      <c r="F100" s="336">
        <f t="shared" ca="1" si="23"/>
        <v>-57513.593999999997</v>
      </c>
      <c r="G100" s="336">
        <f t="shared" ca="1" si="26"/>
        <v>57513.593999999997</v>
      </c>
      <c r="H100" s="336">
        <f t="shared" ca="1" si="27"/>
        <v>13860776.2203</v>
      </c>
      <c r="I100" s="337">
        <f t="shared" ca="1" si="24"/>
        <v>-13860776</v>
      </c>
    </row>
    <row r="101" spans="1:9">
      <c r="A101" s="335">
        <f t="shared" si="22"/>
        <v>84</v>
      </c>
      <c r="B101" s="340">
        <f t="shared" si="28"/>
        <v>48823</v>
      </c>
      <c r="C101" s="336">
        <f t="shared" ca="1" si="25"/>
        <v>13860776.2203</v>
      </c>
      <c r="D101" s="336">
        <f ca="1">IF(H101&lt;0,0,0.25*(K24-L24))</f>
        <v>390748.5</v>
      </c>
      <c r="E101" s="336">
        <f t="shared" ca="1" si="29"/>
        <v>382932</v>
      </c>
      <c r="F101" s="336">
        <f t="shared" ca="1" si="23"/>
        <v>326774.31599999999</v>
      </c>
      <c r="G101" s="336">
        <f t="shared" ca="1" si="26"/>
        <v>56157.684000000001</v>
      </c>
      <c r="H101" s="336">
        <f t="shared" ca="1" si="27"/>
        <v>13534001.904300001</v>
      </c>
      <c r="I101" s="337">
        <f t="shared" ca="1" si="24"/>
        <v>-13143253</v>
      </c>
    </row>
    <row r="102" spans="1:9">
      <c r="A102" s="335">
        <f t="shared" si="22"/>
        <v>85</v>
      </c>
      <c r="B102" s="340">
        <f t="shared" si="28"/>
        <v>48853</v>
      </c>
      <c r="C102" s="336">
        <f t="shared" ca="1" si="25"/>
        <v>13534001.904300001</v>
      </c>
      <c r="D102" s="336"/>
      <c r="E102" s="336">
        <f t="shared" ref="E102:E113" si="30">IF($D$10=1,
 IF(OR(MONTH(B102)=MONTH(EDATE($D$7,0)),MONTH(B102)=MONTH(EDATE($D$7,3)),MONTH(B102)=MONTH(EDATE($D$7,6)),MONTH(B102)=MONTH(EDATE($D$7,9))),(MIN($D$101,H101)),0),
IF($D$10=0,
 IF(OR(MONTH(B102)=MONTH(EDATE($D$7,2)),MONTH(B102)=MONTH(EDATE($D$7,5)),MONTH(B102)=MONTH(EDATE($D$7,8)),MONTH(B102)=MONTH(EDATE($D$7,11))),(MIN($D$101,H101)),0)))</f>
        <v>0</v>
      </c>
      <c r="F102" s="336">
        <f t="shared" ca="1" si="23"/>
        <v>-56391.675000000003</v>
      </c>
      <c r="G102" s="336">
        <f t="shared" ca="1" si="26"/>
        <v>56391.675000000003</v>
      </c>
      <c r="H102" s="336">
        <f t="shared" ca="1" si="27"/>
        <v>13590393.579299999</v>
      </c>
      <c r="I102" s="337">
        <f t="shared" ca="1" si="24"/>
        <v>-13590394</v>
      </c>
    </row>
    <row r="103" spans="1:9">
      <c r="A103" s="335">
        <f t="shared" si="22"/>
        <v>86</v>
      </c>
      <c r="B103" s="340">
        <f t="shared" si="28"/>
        <v>48884</v>
      </c>
      <c r="C103" s="336">
        <f t="shared" ca="1" si="25"/>
        <v>13590393.579299999</v>
      </c>
      <c r="D103" s="335"/>
      <c r="E103" s="336">
        <f t="shared" si="30"/>
        <v>0</v>
      </c>
      <c r="F103" s="336">
        <f t="shared" ca="1" si="23"/>
        <v>-56626.64</v>
      </c>
      <c r="G103" s="336">
        <f t="shared" ca="1" si="26"/>
        <v>56626.64</v>
      </c>
      <c r="H103" s="336">
        <f t="shared" ca="1" si="27"/>
        <v>13647020.2193</v>
      </c>
      <c r="I103" s="337">
        <f t="shared" ca="1" si="24"/>
        <v>-13647020</v>
      </c>
    </row>
    <row r="104" spans="1:9">
      <c r="A104" s="335">
        <f t="shared" si="22"/>
        <v>87</v>
      </c>
      <c r="B104" s="340">
        <f t="shared" si="28"/>
        <v>48914</v>
      </c>
      <c r="C104" s="336">
        <f t="shared" ca="1" si="25"/>
        <v>13647020.2193</v>
      </c>
      <c r="D104" s="335"/>
      <c r="E104" s="336">
        <f t="shared" ca="1" si="30"/>
        <v>390748.5</v>
      </c>
      <c r="F104" s="336">
        <f t="shared" ca="1" si="23"/>
        <v>335514.03500000003</v>
      </c>
      <c r="G104" s="336">
        <f t="shared" ca="1" si="26"/>
        <v>55234.464999999997</v>
      </c>
      <c r="H104" s="336">
        <f t="shared" ca="1" si="27"/>
        <v>13311506.1843</v>
      </c>
      <c r="I104" s="337">
        <f t="shared" ca="1" si="24"/>
        <v>-13311506</v>
      </c>
    </row>
    <row r="105" spans="1:9">
      <c r="A105" s="335">
        <f t="shared" si="22"/>
        <v>88</v>
      </c>
      <c r="B105" s="340">
        <f t="shared" si="28"/>
        <v>48945</v>
      </c>
      <c r="C105" s="336">
        <f t="shared" ca="1" si="25"/>
        <v>13311506.1843</v>
      </c>
      <c r="D105" s="335"/>
      <c r="E105" s="336">
        <f t="shared" si="30"/>
        <v>0</v>
      </c>
      <c r="F105" s="336">
        <f t="shared" ca="1" si="23"/>
        <v>-55464.608999999997</v>
      </c>
      <c r="G105" s="336">
        <f t="shared" ca="1" si="26"/>
        <v>55464.608999999997</v>
      </c>
      <c r="H105" s="336">
        <f t="shared" ca="1" si="27"/>
        <v>13366970.793299999</v>
      </c>
      <c r="I105" s="337">
        <f t="shared" ca="1" si="24"/>
        <v>-13366971</v>
      </c>
    </row>
    <row r="106" spans="1:9">
      <c r="A106" s="335">
        <f t="shared" si="22"/>
        <v>89</v>
      </c>
      <c r="B106" s="340">
        <f t="shared" si="28"/>
        <v>48976</v>
      </c>
      <c r="C106" s="336">
        <f t="shared" ca="1" si="25"/>
        <v>13366970.793299999</v>
      </c>
      <c r="D106" s="335"/>
      <c r="E106" s="336">
        <f t="shared" si="30"/>
        <v>0</v>
      </c>
      <c r="F106" s="336">
        <f t="shared" ca="1" si="23"/>
        <v>-55695.712</v>
      </c>
      <c r="G106" s="336">
        <f t="shared" ca="1" si="26"/>
        <v>55695.712</v>
      </c>
      <c r="H106" s="336">
        <f t="shared" ca="1" si="27"/>
        <v>13422666.5053</v>
      </c>
      <c r="I106" s="337">
        <f t="shared" ca="1" si="24"/>
        <v>-13422667</v>
      </c>
    </row>
    <row r="107" spans="1:9">
      <c r="A107" s="335">
        <f t="shared" si="22"/>
        <v>90</v>
      </c>
      <c r="B107" s="340">
        <f t="shared" si="28"/>
        <v>49004</v>
      </c>
      <c r="C107" s="336">
        <f t="shared" ca="1" si="25"/>
        <v>13422666.5053</v>
      </c>
      <c r="D107" s="335"/>
      <c r="E107" s="336">
        <f t="shared" ca="1" si="30"/>
        <v>390748.5</v>
      </c>
      <c r="F107" s="336">
        <f t="shared" ca="1" si="23"/>
        <v>336448.842</v>
      </c>
      <c r="G107" s="336">
        <f t="shared" ca="1" si="26"/>
        <v>54299.658000000003</v>
      </c>
      <c r="H107" s="336">
        <f t="shared" ca="1" si="27"/>
        <v>13086217.6633</v>
      </c>
      <c r="I107" s="337">
        <f t="shared" ca="1" si="24"/>
        <v>-13086218</v>
      </c>
    </row>
    <row r="108" spans="1:9">
      <c r="A108" s="335">
        <f t="shared" si="22"/>
        <v>91</v>
      </c>
      <c r="B108" s="340">
        <f t="shared" si="28"/>
        <v>49035</v>
      </c>
      <c r="C108" s="336">
        <f t="shared" ca="1" si="25"/>
        <v>13086217.6633</v>
      </c>
      <c r="D108" s="335"/>
      <c r="E108" s="336">
        <f t="shared" si="30"/>
        <v>0</v>
      </c>
      <c r="F108" s="336">
        <f t="shared" ca="1" si="23"/>
        <v>-54525.906999999999</v>
      </c>
      <c r="G108" s="336">
        <f t="shared" ca="1" si="26"/>
        <v>54525.906999999999</v>
      </c>
      <c r="H108" s="336">
        <f t="shared" ca="1" si="27"/>
        <v>13140743.5703</v>
      </c>
      <c r="I108" s="337">
        <f t="shared" ca="1" si="24"/>
        <v>-13140744</v>
      </c>
    </row>
    <row r="109" spans="1:9">
      <c r="A109" s="335">
        <f t="shared" si="22"/>
        <v>92</v>
      </c>
      <c r="B109" s="340">
        <f t="shared" si="28"/>
        <v>49065</v>
      </c>
      <c r="C109" s="336">
        <f t="shared" ca="1" si="25"/>
        <v>13140743.5703</v>
      </c>
      <c r="D109" s="335"/>
      <c r="E109" s="336">
        <f t="shared" si="30"/>
        <v>0</v>
      </c>
      <c r="F109" s="336">
        <f t="shared" ca="1" si="23"/>
        <v>-54753.097999999998</v>
      </c>
      <c r="G109" s="336">
        <f t="shared" ca="1" si="26"/>
        <v>54753.097999999998</v>
      </c>
      <c r="H109" s="336">
        <f t="shared" ca="1" si="27"/>
        <v>13195496.668299999</v>
      </c>
      <c r="I109" s="337">
        <f t="shared" ca="1" si="24"/>
        <v>-13195497</v>
      </c>
    </row>
    <row r="110" spans="1:9">
      <c r="A110" s="335">
        <f t="shared" si="22"/>
        <v>93</v>
      </c>
      <c r="B110" s="340">
        <f t="shared" si="28"/>
        <v>49096</v>
      </c>
      <c r="C110" s="336">
        <f t="shared" ca="1" si="25"/>
        <v>13195496.668299999</v>
      </c>
      <c r="D110" s="335"/>
      <c r="E110" s="336">
        <f t="shared" ca="1" si="30"/>
        <v>390748.5</v>
      </c>
      <c r="F110" s="336">
        <f t="shared" ca="1" si="23"/>
        <v>337395.38300000003</v>
      </c>
      <c r="G110" s="336">
        <f t="shared" ca="1" si="26"/>
        <v>53353.116999999998</v>
      </c>
      <c r="H110" s="336">
        <f t="shared" ca="1" si="27"/>
        <v>12858101.2853</v>
      </c>
      <c r="I110" s="337">
        <f t="shared" ca="1" si="24"/>
        <v>-12858101</v>
      </c>
    </row>
    <row r="111" spans="1:9">
      <c r="A111" s="335">
        <f t="shared" si="22"/>
        <v>94</v>
      </c>
      <c r="B111" s="340">
        <f t="shared" si="28"/>
        <v>49126</v>
      </c>
      <c r="C111" s="336">
        <f t="shared" ca="1" si="25"/>
        <v>12858101.2853</v>
      </c>
      <c r="D111" s="335"/>
      <c r="E111" s="336">
        <f t="shared" si="30"/>
        <v>0</v>
      </c>
      <c r="F111" s="336">
        <f t="shared" ca="1" si="23"/>
        <v>-53575.421999999999</v>
      </c>
      <c r="G111" s="336">
        <f t="shared" ca="1" si="26"/>
        <v>53575.421999999999</v>
      </c>
      <c r="H111" s="336">
        <f t="shared" ca="1" si="27"/>
        <v>12911676.7073</v>
      </c>
      <c r="I111" s="337">
        <f t="shared" ca="1" si="24"/>
        <v>-12911677</v>
      </c>
    </row>
    <row r="112" spans="1:9">
      <c r="A112" s="335">
        <f t="shared" si="22"/>
        <v>95</v>
      </c>
      <c r="B112" s="340">
        <f t="shared" si="28"/>
        <v>49157</v>
      </c>
      <c r="C112" s="336">
        <f t="shared" ca="1" si="25"/>
        <v>12911676.7073</v>
      </c>
      <c r="D112" s="335"/>
      <c r="E112" s="336">
        <f t="shared" si="30"/>
        <v>0</v>
      </c>
      <c r="F112" s="336">
        <f t="shared" ca="1" si="23"/>
        <v>-53798.652999999998</v>
      </c>
      <c r="G112" s="336">
        <f t="shared" ca="1" si="26"/>
        <v>53798.652999999998</v>
      </c>
      <c r="H112" s="336">
        <f t="shared" ca="1" si="27"/>
        <v>12965475.360300001</v>
      </c>
      <c r="I112" s="337">
        <f t="shared" ca="1" si="24"/>
        <v>-12965475</v>
      </c>
    </row>
    <row r="113" spans="1:9">
      <c r="A113" s="335">
        <f t="shared" si="22"/>
        <v>96</v>
      </c>
      <c r="B113" s="340">
        <f t="shared" si="28"/>
        <v>49188</v>
      </c>
      <c r="C113" s="336">
        <f t="shared" ca="1" si="25"/>
        <v>12965475.360300001</v>
      </c>
      <c r="D113" s="336">
        <f ca="1">IF(H113&lt;0,0,0.25*(K25-L25))</f>
        <v>398767.5</v>
      </c>
      <c r="E113" s="336">
        <f t="shared" ca="1" si="30"/>
        <v>390748.5</v>
      </c>
      <c r="F113" s="336">
        <f t="shared" ca="1" si="23"/>
        <v>338353.80499999999</v>
      </c>
      <c r="G113" s="336">
        <f t="shared" ca="1" si="26"/>
        <v>52394.695</v>
      </c>
      <c r="H113" s="336">
        <f ca="1">IF(E113="","",ROUND(H112-F113,4))</f>
        <v>12627121.555299999</v>
      </c>
      <c r="I113" s="337">
        <f t="shared" ca="1" si="24"/>
        <v>-12228354</v>
      </c>
    </row>
    <row r="114" spans="1:9">
      <c r="A114" s="335">
        <f t="shared" si="22"/>
        <v>97</v>
      </c>
      <c r="B114" s="340">
        <f t="shared" si="28"/>
        <v>49218</v>
      </c>
      <c r="C114" s="336">
        <f t="shared" ca="1" si="25"/>
        <v>12627121.555299999</v>
      </c>
      <c r="D114" s="336"/>
      <c r="E114" s="336">
        <f t="shared" ref="E114:E125" si="31">IF($D$10=1,
 IF(OR(MONTH(B114)=MONTH(EDATE($D$7,0)),MONTH(B114)=MONTH(EDATE($D$7,3)),MONTH(B114)=MONTH(EDATE($D$7,6)),MONTH(B114)=MONTH(EDATE($D$7,9))),(MIN($D$113,H113)),0),
IF($D$10=0,
 IF(OR(MONTH(B114)=MONTH(EDATE($D$7,2)),MONTH(B114)=MONTH(EDATE($D$7,5)),MONTH(B114)=MONTH(EDATE($D$7,8)),MONTH(B114)=MONTH(EDATE($D$7,11))),(MIN($D$113,H113)),0)))</f>
        <v>0</v>
      </c>
      <c r="F114" s="336">
        <f t="shared" ca="1" si="23"/>
        <v>-52613.006000000001</v>
      </c>
      <c r="G114" s="336">
        <f t="shared" ca="1" si="26"/>
        <v>52613.006000000001</v>
      </c>
      <c r="H114" s="336">
        <f ca="1">IF(E114="","",ROUND(H113-F114,4))</f>
        <v>12679734.5613</v>
      </c>
      <c r="I114" s="337">
        <f t="shared" ca="1" si="24"/>
        <v>-12679735</v>
      </c>
    </row>
    <row r="115" spans="1:9">
      <c r="A115" s="335">
        <f t="shared" si="22"/>
        <v>98</v>
      </c>
      <c r="B115" s="340">
        <f t="shared" si="28"/>
        <v>49249</v>
      </c>
      <c r="C115" s="336">
        <f t="shared" ca="1" si="25"/>
        <v>12679734.5613</v>
      </c>
      <c r="D115" s="335"/>
      <c r="E115" s="336">
        <f t="shared" si="31"/>
        <v>0</v>
      </c>
      <c r="F115" s="336">
        <f t="shared" ca="1" si="23"/>
        <v>-52832.226999999999</v>
      </c>
      <c r="G115" s="336">
        <f t="shared" ca="1" si="26"/>
        <v>52832.226999999999</v>
      </c>
      <c r="H115" s="336">
        <f t="shared" ca="1" si="27"/>
        <v>12732566.7883</v>
      </c>
      <c r="I115" s="337">
        <f t="shared" ca="1" si="24"/>
        <v>-12732567</v>
      </c>
    </row>
    <row r="116" spans="1:9">
      <c r="A116" s="335">
        <f t="shared" si="22"/>
        <v>99</v>
      </c>
      <c r="B116" s="340">
        <f t="shared" si="28"/>
        <v>49279</v>
      </c>
      <c r="C116" s="336">
        <f t="shared" ca="1" si="25"/>
        <v>12732566.7883</v>
      </c>
      <c r="D116" s="335"/>
      <c r="E116" s="336">
        <f t="shared" ca="1" si="31"/>
        <v>398767.5</v>
      </c>
      <c r="F116" s="336">
        <f t="shared" ca="1" si="23"/>
        <v>347376.67</v>
      </c>
      <c r="G116" s="336">
        <f t="shared" ca="1" si="26"/>
        <v>51390.83</v>
      </c>
      <c r="H116" s="336">
        <f t="shared" ca="1" si="27"/>
        <v>12385190.1183</v>
      </c>
      <c r="I116" s="337">
        <f t="shared" ca="1" si="24"/>
        <v>-12385190</v>
      </c>
    </row>
    <row r="117" spans="1:9">
      <c r="A117" s="335">
        <f t="shared" si="22"/>
        <v>100</v>
      </c>
      <c r="B117" s="340">
        <f t="shared" si="28"/>
        <v>49310</v>
      </c>
      <c r="C117" s="336">
        <f t="shared" ca="1" si="25"/>
        <v>12385190.1183</v>
      </c>
      <c r="D117" s="335"/>
      <c r="E117" s="336">
        <f t="shared" si="31"/>
        <v>0</v>
      </c>
      <c r="F117" s="336">
        <f t="shared" ca="1" si="23"/>
        <v>-51604.959000000003</v>
      </c>
      <c r="G117" s="336">
        <f t="shared" ca="1" si="26"/>
        <v>51604.959000000003</v>
      </c>
      <c r="H117" s="336">
        <f t="shared" ca="1" si="27"/>
        <v>12436795.077299999</v>
      </c>
      <c r="I117" s="337">
        <f t="shared" ca="1" si="24"/>
        <v>-12436795</v>
      </c>
    </row>
    <row r="118" spans="1:9">
      <c r="A118" s="335">
        <f t="shared" si="22"/>
        <v>101</v>
      </c>
      <c r="B118" s="340">
        <f t="shared" si="28"/>
        <v>49341</v>
      </c>
      <c r="C118" s="336">
        <f t="shared" ca="1" si="25"/>
        <v>12436795.077299999</v>
      </c>
      <c r="D118" s="335"/>
      <c r="E118" s="336">
        <f t="shared" si="31"/>
        <v>0</v>
      </c>
      <c r="F118" s="336">
        <f t="shared" ca="1" si="23"/>
        <v>-51819.978999999999</v>
      </c>
      <c r="G118" s="336">
        <f t="shared" ca="1" si="26"/>
        <v>51819.978999999999</v>
      </c>
      <c r="H118" s="336">
        <f t="shared" ca="1" si="27"/>
        <v>12488615.056299999</v>
      </c>
      <c r="I118" s="337">
        <f t="shared" ca="1" si="24"/>
        <v>-12488615</v>
      </c>
    </row>
    <row r="119" spans="1:9">
      <c r="A119" s="335">
        <f t="shared" si="22"/>
        <v>102</v>
      </c>
      <c r="B119" s="340">
        <f t="shared" si="28"/>
        <v>49369</v>
      </c>
      <c r="C119" s="336">
        <f t="shared" ca="1" si="25"/>
        <v>12488615.056299999</v>
      </c>
      <c r="D119" s="335"/>
      <c r="E119" s="336">
        <f t="shared" ca="1" si="31"/>
        <v>398767.5</v>
      </c>
      <c r="F119" s="336">
        <f t="shared" ca="1" si="23"/>
        <v>348393.13500000001</v>
      </c>
      <c r="G119" s="336">
        <f t="shared" ca="1" si="26"/>
        <v>50374.364999999998</v>
      </c>
      <c r="H119" s="336">
        <f t="shared" ca="1" si="27"/>
        <v>12140221.9213</v>
      </c>
      <c r="I119" s="337">
        <f t="shared" ca="1" si="24"/>
        <v>-12140222</v>
      </c>
    </row>
    <row r="120" spans="1:9">
      <c r="A120" s="335">
        <f t="shared" si="22"/>
        <v>103</v>
      </c>
      <c r="B120" s="340">
        <f t="shared" si="28"/>
        <v>49400</v>
      </c>
      <c r="C120" s="336">
        <f t="shared" ca="1" si="25"/>
        <v>12140221.9213</v>
      </c>
      <c r="D120" s="335"/>
      <c r="E120" s="336">
        <f t="shared" si="31"/>
        <v>0</v>
      </c>
      <c r="F120" s="336">
        <f t="shared" ca="1" si="23"/>
        <v>-50584.258000000002</v>
      </c>
      <c r="G120" s="336">
        <f t="shared" ca="1" si="26"/>
        <v>50584.258000000002</v>
      </c>
      <c r="H120" s="336">
        <f t="shared" ca="1" si="27"/>
        <v>12190806.179300001</v>
      </c>
      <c r="I120" s="337">
        <f t="shared" ca="1" si="24"/>
        <v>-12190806</v>
      </c>
    </row>
    <row r="121" spans="1:9">
      <c r="A121" s="335">
        <f t="shared" si="22"/>
        <v>104</v>
      </c>
      <c r="B121" s="340">
        <f t="shared" si="28"/>
        <v>49430</v>
      </c>
      <c r="C121" s="336">
        <f t="shared" ca="1" si="25"/>
        <v>12190806.179300001</v>
      </c>
      <c r="D121" s="335"/>
      <c r="E121" s="336">
        <f t="shared" si="31"/>
        <v>0</v>
      </c>
      <c r="F121" s="336">
        <f t="shared" ca="1" si="23"/>
        <v>-50795.025999999998</v>
      </c>
      <c r="G121" s="336">
        <f t="shared" ca="1" si="26"/>
        <v>50795.025999999998</v>
      </c>
      <c r="H121" s="336">
        <f t="shared" ca="1" si="27"/>
        <v>12241601.2053</v>
      </c>
      <c r="I121" s="337">
        <f t="shared" ca="1" si="24"/>
        <v>-12241601</v>
      </c>
    </row>
    <row r="122" spans="1:9">
      <c r="A122" s="335">
        <f t="shared" si="22"/>
        <v>105</v>
      </c>
      <c r="B122" s="340">
        <f t="shared" si="28"/>
        <v>49461</v>
      </c>
      <c r="C122" s="336">
        <f t="shared" ca="1" si="25"/>
        <v>12241601.2053</v>
      </c>
      <c r="D122" s="335"/>
      <c r="E122" s="336">
        <f t="shared" ca="1" si="31"/>
        <v>398767.5</v>
      </c>
      <c r="F122" s="336">
        <f t="shared" ca="1" si="23"/>
        <v>349422.36</v>
      </c>
      <c r="G122" s="336">
        <f t="shared" ca="1" si="26"/>
        <v>49345.14</v>
      </c>
      <c r="H122" s="336">
        <f t="shared" ca="1" si="27"/>
        <v>11892178.8453</v>
      </c>
      <c r="I122" s="337">
        <f t="shared" ca="1" si="24"/>
        <v>-11892179</v>
      </c>
    </row>
    <row r="123" spans="1:9">
      <c r="A123" s="335">
        <f t="shared" si="22"/>
        <v>106</v>
      </c>
      <c r="B123" s="340">
        <f t="shared" si="28"/>
        <v>49491</v>
      </c>
      <c r="C123" s="336">
        <f t="shared" ca="1" si="25"/>
        <v>11892178.8453</v>
      </c>
      <c r="D123" s="335"/>
      <c r="E123" s="336">
        <f t="shared" si="31"/>
        <v>0</v>
      </c>
      <c r="F123" s="336">
        <f t="shared" ca="1" si="23"/>
        <v>-49550.745000000003</v>
      </c>
      <c r="G123" s="336">
        <f t="shared" ca="1" si="26"/>
        <v>49550.745000000003</v>
      </c>
      <c r="H123" s="336">
        <f t="shared" ca="1" si="27"/>
        <v>11941729.590299999</v>
      </c>
      <c r="I123" s="337">
        <f t="shared" ca="1" si="24"/>
        <v>-11941730</v>
      </c>
    </row>
    <row r="124" spans="1:9">
      <c r="A124" s="335">
        <f t="shared" si="22"/>
        <v>107</v>
      </c>
      <c r="B124" s="340">
        <f t="shared" si="28"/>
        <v>49522</v>
      </c>
      <c r="C124" s="336">
        <f t="shared" ca="1" si="25"/>
        <v>11941729.590299999</v>
      </c>
      <c r="D124" s="335"/>
      <c r="E124" s="336">
        <f t="shared" si="31"/>
        <v>0</v>
      </c>
      <c r="F124" s="336">
        <f t="shared" ca="1" si="23"/>
        <v>-49757.207000000002</v>
      </c>
      <c r="G124" s="336">
        <f t="shared" ca="1" si="26"/>
        <v>49757.207000000002</v>
      </c>
      <c r="H124" s="336">
        <f t="shared" ca="1" si="27"/>
        <v>11991486.7973</v>
      </c>
      <c r="I124" s="337">
        <f t="shared" ca="1" si="24"/>
        <v>-11991487</v>
      </c>
    </row>
    <row r="125" spans="1:9">
      <c r="A125" s="335">
        <f t="shared" si="22"/>
        <v>108</v>
      </c>
      <c r="B125" s="340">
        <f t="shared" si="28"/>
        <v>49553</v>
      </c>
      <c r="C125" s="336">
        <f t="shared" ca="1" si="25"/>
        <v>11991486.7973</v>
      </c>
      <c r="D125" s="336">
        <f ca="1">IF(H125&lt;0,0,0.25*(K26-L26))</f>
        <v>406995.5</v>
      </c>
      <c r="E125" s="336">
        <f t="shared" ca="1" si="31"/>
        <v>398767.5</v>
      </c>
      <c r="F125" s="336">
        <f t="shared" ca="1" si="23"/>
        <v>350464.50300000003</v>
      </c>
      <c r="G125" s="336">
        <f t="shared" ca="1" si="26"/>
        <v>48302.997000000003</v>
      </c>
      <c r="H125" s="336">
        <f ca="1">IF(E125="","",ROUND(H124-F125,4))</f>
        <v>11641022.294299999</v>
      </c>
      <c r="I125" s="337">
        <f t="shared" ca="1" si="24"/>
        <v>-11234027</v>
      </c>
    </row>
    <row r="126" spans="1:9">
      <c r="A126" s="335">
        <f t="shared" si="22"/>
        <v>109</v>
      </c>
      <c r="B126" s="340">
        <f t="shared" si="28"/>
        <v>49583</v>
      </c>
      <c r="C126" s="336">
        <f t="shared" ca="1" si="25"/>
        <v>11641022.294299999</v>
      </c>
      <c r="D126" s="336"/>
      <c r="E126" s="336">
        <f t="shared" ref="E126:E137" si="32">IF($D$10=1,
 IF(OR(MONTH(B126)=MONTH(EDATE($D$7,0)),MONTH(B126)=MONTH(EDATE($D$7,3)),MONTH(B126)=MONTH(EDATE($D$7,6)),MONTH(B126)=MONTH(EDATE($D$7,9))),(MIN($D$125,H125)),0),
IF($D$10=0,
 IF(OR(MONTH(B126)=MONTH(EDATE($D$7,2)),MONTH(B126)=MONTH(EDATE($D$7,5)),MONTH(B126)=MONTH(EDATE($D$7,8)),MONTH(B126)=MONTH(EDATE($D$7,11))),(MIN($D$125,H125)),0)))</f>
        <v>0</v>
      </c>
      <c r="F126" s="336">
        <f t="shared" ca="1" si="23"/>
        <v>-48504.26</v>
      </c>
      <c r="G126" s="336">
        <f t="shared" ca="1" si="26"/>
        <v>48504.26</v>
      </c>
      <c r="H126" s="336">
        <f t="shared" ca="1" si="27"/>
        <v>11689526.554300001</v>
      </c>
      <c r="I126" s="337">
        <f t="shared" ca="1" si="24"/>
        <v>-11689527</v>
      </c>
    </row>
    <row r="127" spans="1:9">
      <c r="A127" s="335">
        <f t="shared" si="22"/>
        <v>110</v>
      </c>
      <c r="B127" s="340">
        <f t="shared" si="28"/>
        <v>49614</v>
      </c>
      <c r="C127" s="336">
        <f t="shared" ca="1" si="25"/>
        <v>11689526.554300001</v>
      </c>
      <c r="D127" s="335"/>
      <c r="E127" s="336">
        <f t="shared" si="32"/>
        <v>0</v>
      </c>
      <c r="F127" s="336">
        <f t="shared" ca="1" si="23"/>
        <v>-48706.360999999997</v>
      </c>
      <c r="G127" s="336">
        <f t="shared" ca="1" si="26"/>
        <v>48706.360999999997</v>
      </c>
      <c r="H127" s="336">
        <f t="shared" ca="1" si="27"/>
        <v>11738232.9153</v>
      </c>
      <c r="I127" s="337">
        <f t="shared" ca="1" si="24"/>
        <v>-11738233</v>
      </c>
    </row>
    <row r="128" spans="1:9">
      <c r="A128" s="335">
        <f t="shared" si="22"/>
        <v>111</v>
      </c>
      <c r="B128" s="340">
        <f t="shared" si="28"/>
        <v>49644</v>
      </c>
      <c r="C128" s="336">
        <f t="shared" ca="1" si="25"/>
        <v>11738232.9153</v>
      </c>
      <c r="D128" s="335"/>
      <c r="E128" s="336">
        <f t="shared" ca="1" si="32"/>
        <v>406995.5</v>
      </c>
      <c r="F128" s="336">
        <f t="shared" ca="1" si="23"/>
        <v>359782.011</v>
      </c>
      <c r="G128" s="336">
        <f t="shared" ca="1" si="26"/>
        <v>47213.489000000001</v>
      </c>
      <c r="H128" s="336">
        <f t="shared" ca="1" si="27"/>
        <v>11378450.904300001</v>
      </c>
      <c r="I128" s="337">
        <f t="shared" ca="1" si="24"/>
        <v>-11378451</v>
      </c>
    </row>
    <row r="129" spans="1:9">
      <c r="A129" s="335">
        <f t="shared" si="22"/>
        <v>112</v>
      </c>
      <c r="B129" s="340">
        <f t="shared" si="28"/>
        <v>49675</v>
      </c>
      <c r="C129" s="336">
        <f t="shared" ca="1" si="25"/>
        <v>11378450.904300001</v>
      </c>
      <c r="D129" s="335"/>
      <c r="E129" s="336">
        <f t="shared" si="32"/>
        <v>0</v>
      </c>
      <c r="F129" s="336">
        <f t="shared" ca="1" si="23"/>
        <v>-47410.212</v>
      </c>
      <c r="G129" s="336">
        <f t="shared" ca="1" si="26"/>
        <v>47410.212</v>
      </c>
      <c r="H129" s="336">
        <f t="shared" ca="1" si="27"/>
        <v>11425861.1163</v>
      </c>
      <c r="I129" s="337">
        <f t="shared" ca="1" si="24"/>
        <v>-11425861</v>
      </c>
    </row>
    <row r="130" spans="1:9">
      <c r="A130" s="335">
        <f t="shared" si="22"/>
        <v>113</v>
      </c>
      <c r="B130" s="340">
        <f t="shared" si="28"/>
        <v>49706</v>
      </c>
      <c r="C130" s="336">
        <f t="shared" ca="1" si="25"/>
        <v>11425861.1163</v>
      </c>
      <c r="D130" s="335"/>
      <c r="E130" s="336">
        <f t="shared" si="32"/>
        <v>0</v>
      </c>
      <c r="F130" s="336">
        <f t="shared" ca="1" si="23"/>
        <v>-47607.754999999997</v>
      </c>
      <c r="G130" s="336">
        <f t="shared" ca="1" si="26"/>
        <v>47607.754999999997</v>
      </c>
      <c r="H130" s="336">
        <f t="shared" ca="1" si="27"/>
        <v>11473468.871300001</v>
      </c>
      <c r="I130" s="337">
        <f t="shared" ca="1" si="24"/>
        <v>-11473469</v>
      </c>
    </row>
    <row r="131" spans="1:9">
      <c r="A131" s="335">
        <f t="shared" si="22"/>
        <v>114</v>
      </c>
      <c r="B131" s="340">
        <f t="shared" si="28"/>
        <v>49735</v>
      </c>
      <c r="C131" s="336">
        <f t="shared" ca="1" si="25"/>
        <v>11473468.871300001</v>
      </c>
      <c r="D131" s="335"/>
      <c r="E131" s="336">
        <f t="shared" ca="1" si="32"/>
        <v>406995.5</v>
      </c>
      <c r="F131" s="336">
        <f t="shared" ca="1" si="23"/>
        <v>360885.19400000002</v>
      </c>
      <c r="G131" s="336">
        <f t="shared" ca="1" si="26"/>
        <v>46110.305999999997</v>
      </c>
      <c r="H131" s="336">
        <f t="shared" ca="1" si="27"/>
        <v>11112583.677300001</v>
      </c>
      <c r="I131" s="337">
        <f t="shared" ca="1" si="24"/>
        <v>-11112584</v>
      </c>
    </row>
    <row r="132" spans="1:9">
      <c r="A132" s="335">
        <f t="shared" si="22"/>
        <v>115</v>
      </c>
      <c r="B132" s="340">
        <f t="shared" si="28"/>
        <v>49766</v>
      </c>
      <c r="C132" s="336">
        <f t="shared" ca="1" si="25"/>
        <v>11112583.677300001</v>
      </c>
      <c r="D132" s="335"/>
      <c r="E132" s="336">
        <f t="shared" si="32"/>
        <v>0</v>
      </c>
      <c r="F132" s="336">
        <f t="shared" ca="1" si="23"/>
        <v>-46302.432000000001</v>
      </c>
      <c r="G132" s="336">
        <f t="shared" ca="1" si="26"/>
        <v>46302.432000000001</v>
      </c>
      <c r="H132" s="336">
        <f t="shared" ca="1" si="27"/>
        <v>11158886.109300001</v>
      </c>
      <c r="I132" s="337">
        <f t="shared" ca="1" si="24"/>
        <v>-11158886</v>
      </c>
    </row>
    <row r="133" spans="1:9">
      <c r="A133" s="335">
        <f t="shared" si="22"/>
        <v>116</v>
      </c>
      <c r="B133" s="340">
        <f t="shared" si="28"/>
        <v>49796</v>
      </c>
      <c r="C133" s="336">
        <f t="shared" ca="1" si="25"/>
        <v>11158886.109300001</v>
      </c>
      <c r="D133" s="335"/>
      <c r="E133" s="336">
        <f t="shared" si="32"/>
        <v>0</v>
      </c>
      <c r="F133" s="336">
        <f t="shared" ca="1" si="23"/>
        <v>-46495.358999999997</v>
      </c>
      <c r="G133" s="336">
        <f t="shared" ca="1" si="26"/>
        <v>46495.358999999997</v>
      </c>
      <c r="H133" s="336">
        <f t="shared" ca="1" si="27"/>
        <v>11205381.4683</v>
      </c>
      <c r="I133" s="337">
        <f t="shared" ca="1" si="24"/>
        <v>-11205381</v>
      </c>
    </row>
    <row r="134" spans="1:9">
      <c r="A134" s="335">
        <f t="shared" si="22"/>
        <v>117</v>
      </c>
      <c r="B134" s="340">
        <f t="shared" si="28"/>
        <v>49827</v>
      </c>
      <c r="C134" s="336">
        <f t="shared" ca="1" si="25"/>
        <v>11205381.4683</v>
      </c>
      <c r="D134" s="335"/>
      <c r="E134" s="336">
        <f t="shared" ca="1" si="32"/>
        <v>406995.5</v>
      </c>
      <c r="F134" s="336">
        <f t="shared" ca="1" si="23"/>
        <v>362002.22499999998</v>
      </c>
      <c r="G134" s="336">
        <f t="shared" ca="1" si="26"/>
        <v>44993.275000000001</v>
      </c>
      <c r="H134" s="336">
        <f t="shared" ca="1" si="27"/>
        <v>10843379.2433</v>
      </c>
      <c r="I134" s="337">
        <f t="shared" ca="1" si="24"/>
        <v>-10843379</v>
      </c>
    </row>
    <row r="135" spans="1:9">
      <c r="A135" s="335">
        <f t="shared" si="22"/>
        <v>118</v>
      </c>
      <c r="B135" s="340">
        <f t="shared" si="28"/>
        <v>49857</v>
      </c>
      <c r="C135" s="336">
        <f t="shared" ca="1" si="25"/>
        <v>10843379.2433</v>
      </c>
      <c r="D135" s="335"/>
      <c r="E135" s="336">
        <f t="shared" si="32"/>
        <v>0</v>
      </c>
      <c r="F135" s="336">
        <f t="shared" ca="1" si="23"/>
        <v>-45180.747000000003</v>
      </c>
      <c r="G135" s="336">
        <f t="shared" ca="1" si="26"/>
        <v>45180.747000000003</v>
      </c>
      <c r="H135" s="336">
        <f t="shared" ca="1" si="27"/>
        <v>10888559.9903</v>
      </c>
      <c r="I135" s="337">
        <f t="shared" ca="1" si="24"/>
        <v>-10888560</v>
      </c>
    </row>
    <row r="136" spans="1:9">
      <c r="A136" s="335">
        <f t="shared" si="22"/>
        <v>119</v>
      </c>
      <c r="B136" s="340">
        <f t="shared" si="28"/>
        <v>49888</v>
      </c>
      <c r="C136" s="336">
        <f t="shared" ca="1" si="25"/>
        <v>10888559.9903</v>
      </c>
      <c r="D136" s="335"/>
      <c r="E136" s="336">
        <f t="shared" si="32"/>
        <v>0</v>
      </c>
      <c r="F136" s="336">
        <f t="shared" ca="1" si="23"/>
        <v>-45369</v>
      </c>
      <c r="G136" s="336">
        <f t="shared" ca="1" si="26"/>
        <v>45369</v>
      </c>
      <c r="H136" s="336">
        <f t="shared" ca="1" si="27"/>
        <v>10933928.9903</v>
      </c>
      <c r="I136" s="337">
        <f t="shared" ca="1" si="24"/>
        <v>-10933929</v>
      </c>
    </row>
    <row r="137" spans="1:9">
      <c r="A137" s="335">
        <f t="shared" si="22"/>
        <v>120</v>
      </c>
      <c r="B137" s="340">
        <f t="shared" si="28"/>
        <v>49919</v>
      </c>
      <c r="C137" s="336">
        <f t="shared" ca="1" si="25"/>
        <v>10933928.9903</v>
      </c>
      <c r="D137" s="336">
        <f ca="1">IF(H137&lt;0,0,0.25*(K27-L27))</f>
        <v>415438.5</v>
      </c>
      <c r="E137" s="336">
        <f t="shared" ca="1" si="32"/>
        <v>406995.5</v>
      </c>
      <c r="F137" s="336">
        <f t="shared" ca="1" si="23"/>
        <v>363133.277</v>
      </c>
      <c r="G137" s="336">
        <f t="shared" ca="1" si="26"/>
        <v>43862.222999999998</v>
      </c>
      <c r="H137" s="336">
        <f t="shared" ca="1" si="27"/>
        <v>10570795.713300001</v>
      </c>
      <c r="I137" s="337">
        <f t="shared" ca="1" si="24"/>
        <v>-10155357</v>
      </c>
    </row>
    <row r="138" spans="1:9">
      <c r="A138" s="335">
        <f t="shared" si="22"/>
        <v>121</v>
      </c>
      <c r="B138" s="340">
        <f t="shared" si="28"/>
        <v>49949</v>
      </c>
      <c r="C138" s="336">
        <f t="shared" ca="1" si="25"/>
        <v>10570795.713300001</v>
      </c>
      <c r="D138" s="336"/>
      <c r="E138" s="336">
        <f t="shared" ref="E138:E149" si="33">IF($D$10=1,
 IF(OR(MONTH(B138)=MONTH(EDATE($D$7,0)),MONTH(B138)=MONTH(EDATE($D$7,3)),MONTH(B138)=MONTH(EDATE($D$7,6)),MONTH(B138)=MONTH(EDATE($D$7,9))),(MIN($D$137,H137)),0),
IF($D$10=0,
 IF(OR(MONTH(B138)=MONTH(EDATE($D$7,2)),MONTH(B138)=MONTH(EDATE($D$7,5)),MONTH(B138)=MONTH(EDATE($D$7,8)),MONTH(B138)=MONTH(EDATE($D$7,11))),(MIN($D$137,H137)),0)))</f>
        <v>0</v>
      </c>
      <c r="F138" s="336">
        <f t="shared" ca="1" si="23"/>
        <v>-44044.982000000004</v>
      </c>
      <c r="G138" s="336">
        <f t="shared" ca="1" si="26"/>
        <v>44044.982000000004</v>
      </c>
      <c r="H138" s="336">
        <f t="shared" ca="1" si="27"/>
        <v>10614840.6953</v>
      </c>
      <c r="I138" s="337">
        <f t="shared" ca="1" si="24"/>
        <v>-10614841</v>
      </c>
    </row>
    <row r="139" spans="1:9">
      <c r="A139" s="335">
        <f t="shared" si="22"/>
        <v>122</v>
      </c>
      <c r="B139" s="340">
        <f t="shared" si="28"/>
        <v>49980</v>
      </c>
      <c r="C139" s="336">
        <f t="shared" ca="1" si="25"/>
        <v>10614840.6953</v>
      </c>
      <c r="D139" s="335"/>
      <c r="E139" s="336">
        <f t="shared" si="33"/>
        <v>0</v>
      </c>
      <c r="F139" s="336">
        <f t="shared" ca="1" si="23"/>
        <v>-44228.502999999997</v>
      </c>
      <c r="G139" s="336">
        <f t="shared" ca="1" si="26"/>
        <v>44228.502999999997</v>
      </c>
      <c r="H139" s="336">
        <f t="shared" ca="1" si="27"/>
        <v>10659069.1983</v>
      </c>
      <c r="I139" s="337">
        <f t="shared" ca="1" si="24"/>
        <v>-10659069</v>
      </c>
    </row>
    <row r="140" spans="1:9">
      <c r="A140" s="335">
        <f t="shared" si="22"/>
        <v>123</v>
      </c>
      <c r="B140" s="340">
        <f t="shared" si="28"/>
        <v>50010</v>
      </c>
      <c r="C140" s="336">
        <f t="shared" ca="1" si="25"/>
        <v>10659069.1983</v>
      </c>
      <c r="D140" s="335"/>
      <c r="E140" s="336">
        <f t="shared" ca="1" si="33"/>
        <v>415438.5</v>
      </c>
      <c r="F140" s="336">
        <f t="shared" ca="1" si="23"/>
        <v>372756.70500000002</v>
      </c>
      <c r="G140" s="336">
        <f t="shared" ca="1" si="26"/>
        <v>42681.794999999998</v>
      </c>
      <c r="H140" s="336">
        <f t="shared" ca="1" si="27"/>
        <v>10286312.4933</v>
      </c>
      <c r="I140" s="337">
        <f t="shared" ca="1" si="24"/>
        <v>-10286312</v>
      </c>
    </row>
    <row r="141" spans="1:9">
      <c r="A141" s="335">
        <f t="shared" si="22"/>
        <v>124</v>
      </c>
      <c r="B141" s="340">
        <f t="shared" si="28"/>
        <v>50041</v>
      </c>
      <c r="C141" s="336">
        <f t="shared" ca="1" si="25"/>
        <v>10286312.4933</v>
      </c>
      <c r="D141" s="335"/>
      <c r="E141" s="336">
        <f t="shared" si="33"/>
        <v>0</v>
      </c>
      <c r="F141" s="336">
        <f t="shared" ca="1" si="23"/>
        <v>-42859.635000000002</v>
      </c>
      <c r="G141" s="336">
        <f t="shared" ca="1" si="26"/>
        <v>42859.635000000002</v>
      </c>
      <c r="H141" s="336">
        <f t="shared" ca="1" si="27"/>
        <v>10329172.1283</v>
      </c>
      <c r="I141" s="337">
        <f t="shared" ca="1" si="24"/>
        <v>-10329172</v>
      </c>
    </row>
    <row r="142" spans="1:9">
      <c r="A142" s="335">
        <f t="shared" si="22"/>
        <v>125</v>
      </c>
      <c r="B142" s="340">
        <f t="shared" si="28"/>
        <v>50072</v>
      </c>
      <c r="C142" s="336">
        <f t="shared" ca="1" si="25"/>
        <v>10329172.1283</v>
      </c>
      <c r="D142" s="335"/>
      <c r="E142" s="336">
        <f t="shared" si="33"/>
        <v>0</v>
      </c>
      <c r="F142" s="336">
        <f t="shared" ca="1" si="23"/>
        <v>-43038.216999999997</v>
      </c>
      <c r="G142" s="336">
        <f t="shared" ca="1" si="26"/>
        <v>43038.216999999997</v>
      </c>
      <c r="H142" s="336">
        <f t="shared" ca="1" si="27"/>
        <v>10372210.3453</v>
      </c>
      <c r="I142" s="337">
        <f t="shared" ca="1" si="24"/>
        <v>-10372210</v>
      </c>
    </row>
    <row r="143" spans="1:9">
      <c r="A143" s="335">
        <f t="shared" si="22"/>
        <v>126</v>
      </c>
      <c r="B143" s="340">
        <f t="shared" si="28"/>
        <v>50100</v>
      </c>
      <c r="C143" s="336">
        <f t="shared" ca="1" si="25"/>
        <v>10372210.3453</v>
      </c>
      <c r="D143" s="335"/>
      <c r="E143" s="336">
        <f t="shared" ca="1" si="33"/>
        <v>415438.5</v>
      </c>
      <c r="F143" s="336">
        <f t="shared" ca="1" si="23"/>
        <v>373951.951</v>
      </c>
      <c r="G143" s="336">
        <f t="shared" ca="1" si="26"/>
        <v>41486.548999999999</v>
      </c>
      <c r="H143" s="336">
        <f t="shared" ca="1" si="27"/>
        <v>9998258.3943000007</v>
      </c>
      <c r="I143" s="337">
        <f t="shared" ca="1" si="24"/>
        <v>-9998258</v>
      </c>
    </row>
    <row r="144" spans="1:9">
      <c r="A144" s="335">
        <f t="shared" si="22"/>
        <v>127</v>
      </c>
      <c r="B144" s="340">
        <f t="shared" si="28"/>
        <v>50131</v>
      </c>
      <c r="C144" s="336">
        <f t="shared" ca="1" si="25"/>
        <v>9998258.3943000007</v>
      </c>
      <c r="D144" s="335"/>
      <c r="E144" s="336">
        <f t="shared" si="33"/>
        <v>0</v>
      </c>
      <c r="F144" s="336">
        <f t="shared" ca="1" si="23"/>
        <v>-41659.410000000003</v>
      </c>
      <c r="G144" s="336">
        <f t="shared" ca="1" si="26"/>
        <v>41659.410000000003</v>
      </c>
      <c r="H144" s="336">
        <f t="shared" ca="1" si="27"/>
        <v>10039917.804300001</v>
      </c>
      <c r="I144" s="337">
        <f t="shared" ca="1" si="24"/>
        <v>-10039918</v>
      </c>
    </row>
    <row r="145" spans="1:9">
      <c r="A145" s="335">
        <f t="shared" si="22"/>
        <v>128</v>
      </c>
      <c r="B145" s="340">
        <f t="shared" si="28"/>
        <v>50161</v>
      </c>
      <c r="C145" s="336">
        <f t="shared" ca="1" si="25"/>
        <v>10039917.804300001</v>
      </c>
      <c r="D145" s="335"/>
      <c r="E145" s="336">
        <f t="shared" si="33"/>
        <v>0</v>
      </c>
      <c r="F145" s="336">
        <f t="shared" ca="1" si="23"/>
        <v>-41832.991000000002</v>
      </c>
      <c r="G145" s="336">
        <f t="shared" ca="1" si="26"/>
        <v>41832.991000000002</v>
      </c>
      <c r="H145" s="336">
        <f t="shared" ca="1" si="27"/>
        <v>10081750.795299999</v>
      </c>
      <c r="I145" s="337">
        <f t="shared" ca="1" si="24"/>
        <v>-10081751</v>
      </c>
    </row>
    <row r="146" spans="1:9">
      <c r="A146" s="335">
        <f t="shared" ref="A146:A209" si="34">IF(A145="","",IF(A145=$D$6,"",A145+1))</f>
        <v>129</v>
      </c>
      <c r="B146" s="340">
        <f t="shared" si="28"/>
        <v>50192</v>
      </c>
      <c r="C146" s="336">
        <f t="shared" ca="1" si="25"/>
        <v>10081750.795299999</v>
      </c>
      <c r="D146" s="335"/>
      <c r="E146" s="336">
        <f t="shared" ca="1" si="33"/>
        <v>415438.5</v>
      </c>
      <c r="F146" s="336">
        <f t="shared" ref="F146:F209" ca="1" si="35">IF(E146="","",E146-G146)</f>
        <v>375162.19900000002</v>
      </c>
      <c r="G146" s="336">
        <f t="shared" ca="1" si="26"/>
        <v>40276.300999999999</v>
      </c>
      <c r="H146" s="336">
        <f t="shared" ca="1" si="27"/>
        <v>9706588.5963000003</v>
      </c>
      <c r="I146" s="337">
        <f t="shared" ref="I146:I209" ca="1" si="36">ROUND((D146-H146),0)</f>
        <v>-9706589</v>
      </c>
    </row>
    <row r="147" spans="1:9">
      <c r="A147" s="335">
        <f t="shared" si="34"/>
        <v>130</v>
      </c>
      <c r="B147" s="340">
        <f t="shared" si="28"/>
        <v>50222</v>
      </c>
      <c r="C147" s="336">
        <f t="shared" ref="C147:C210" ca="1" si="37">IF(H146=0,0,H146)</f>
        <v>9706588.5963000003</v>
      </c>
      <c r="D147" s="335"/>
      <c r="E147" s="336">
        <f t="shared" si="33"/>
        <v>0</v>
      </c>
      <c r="F147" s="336">
        <f t="shared" ca="1" si="35"/>
        <v>-40444.118999999999</v>
      </c>
      <c r="G147" s="336">
        <f t="shared" ref="G147:G210" ca="1" si="38">ROUND((C147-E147)*$D$5,3)</f>
        <v>40444.118999999999</v>
      </c>
      <c r="H147" s="336">
        <f t="shared" ref="H147:H210" ca="1" si="39">IF(E147="","",ROUND(H146-F147,4))</f>
        <v>9747032.7152999993</v>
      </c>
      <c r="I147" s="337">
        <f t="shared" ca="1" si="36"/>
        <v>-9747033</v>
      </c>
    </row>
    <row r="148" spans="1:9">
      <c r="A148" s="335">
        <f t="shared" si="34"/>
        <v>131</v>
      </c>
      <c r="B148" s="340">
        <f t="shared" ref="B148:B211" si="40">DATE(YEAR(B147),MONTH(B147)+1,1)</f>
        <v>50253</v>
      </c>
      <c r="C148" s="336">
        <f t="shared" ca="1" si="37"/>
        <v>9747032.7152999993</v>
      </c>
      <c r="D148" s="335"/>
      <c r="E148" s="336">
        <f t="shared" si="33"/>
        <v>0</v>
      </c>
      <c r="F148" s="336">
        <f t="shared" ca="1" si="35"/>
        <v>-40612.635999999999</v>
      </c>
      <c r="G148" s="336">
        <f t="shared" ca="1" si="38"/>
        <v>40612.635999999999</v>
      </c>
      <c r="H148" s="336">
        <f t="shared" ca="1" si="39"/>
        <v>9787645.3512999993</v>
      </c>
      <c r="I148" s="337">
        <f t="shared" ca="1" si="36"/>
        <v>-9787645</v>
      </c>
    </row>
    <row r="149" spans="1:9">
      <c r="A149" s="335">
        <f t="shared" si="34"/>
        <v>132</v>
      </c>
      <c r="B149" s="340">
        <f t="shared" si="40"/>
        <v>50284</v>
      </c>
      <c r="C149" s="336">
        <f t="shared" ca="1" si="37"/>
        <v>9787645.3512999993</v>
      </c>
      <c r="D149" s="336">
        <f ca="1">IF(H149&lt;0,0,0.25*(K28-L28))</f>
        <v>424103</v>
      </c>
      <c r="E149" s="336">
        <f t="shared" ca="1" si="33"/>
        <v>415438.5</v>
      </c>
      <c r="F149" s="336">
        <f t="shared" ca="1" si="35"/>
        <v>376387.63799999998</v>
      </c>
      <c r="G149" s="336">
        <f t="shared" ca="1" si="38"/>
        <v>39050.862000000001</v>
      </c>
      <c r="H149" s="336">
        <f t="shared" ca="1" si="39"/>
        <v>9411257.7133000009</v>
      </c>
      <c r="I149" s="337">
        <f t="shared" ca="1" si="36"/>
        <v>-8987155</v>
      </c>
    </row>
    <row r="150" spans="1:9">
      <c r="A150" s="335">
        <f t="shared" si="34"/>
        <v>133</v>
      </c>
      <c r="B150" s="340">
        <f t="shared" si="40"/>
        <v>50314</v>
      </c>
      <c r="C150" s="336">
        <f t="shared" ca="1" si="37"/>
        <v>9411257.7133000009</v>
      </c>
      <c r="D150" s="336"/>
      <c r="E150" s="336">
        <f t="shared" ref="E150:E161" si="41">IF($D$10=1,
 IF(OR(MONTH(B150)=MONTH(EDATE($D$7,0)),MONTH(B150)=MONTH(EDATE($D$7,3)),MONTH(B150)=MONTH(EDATE($D$7,6)),MONTH(B150)=MONTH(EDATE($D$7,9))),(MIN($D$149,H149)),0),
IF($D$10=0,
 IF(OR(MONTH(B150)=MONTH(EDATE($D$7,2)),MONTH(B150)=MONTH(EDATE($D$7,5)),MONTH(B150)=MONTH(EDATE($D$7,8)),MONTH(B150)=MONTH(EDATE($D$7,11))),(MIN($D$149,H149)),0)))</f>
        <v>0</v>
      </c>
      <c r="F150" s="336">
        <f t="shared" ca="1" si="35"/>
        <v>-39213.574000000001</v>
      </c>
      <c r="G150" s="336">
        <f t="shared" ca="1" si="38"/>
        <v>39213.574000000001</v>
      </c>
      <c r="H150" s="336">
        <f t="shared" ca="1" si="39"/>
        <v>9450471.2873</v>
      </c>
      <c r="I150" s="337">
        <f t="shared" ca="1" si="36"/>
        <v>-9450471</v>
      </c>
    </row>
    <row r="151" spans="1:9">
      <c r="A151" s="335">
        <f t="shared" si="34"/>
        <v>134</v>
      </c>
      <c r="B151" s="340">
        <f t="shared" si="40"/>
        <v>50345</v>
      </c>
      <c r="C151" s="336">
        <f t="shared" ca="1" si="37"/>
        <v>9450471.2873</v>
      </c>
      <c r="D151" s="335"/>
      <c r="E151" s="336">
        <f t="shared" si="41"/>
        <v>0</v>
      </c>
      <c r="F151" s="336">
        <f t="shared" ca="1" si="35"/>
        <v>-39376.964</v>
      </c>
      <c r="G151" s="336">
        <f t="shared" ca="1" si="38"/>
        <v>39376.964</v>
      </c>
      <c r="H151" s="336">
        <f t="shared" ca="1" si="39"/>
        <v>9489848.2512999997</v>
      </c>
      <c r="I151" s="337">
        <f t="shared" ca="1" si="36"/>
        <v>-9489848</v>
      </c>
    </row>
    <row r="152" spans="1:9">
      <c r="A152" s="335">
        <f t="shared" si="34"/>
        <v>135</v>
      </c>
      <c r="B152" s="340">
        <f t="shared" si="40"/>
        <v>50375</v>
      </c>
      <c r="C152" s="336">
        <f t="shared" ca="1" si="37"/>
        <v>9489848.2512999997</v>
      </c>
      <c r="D152" s="335"/>
      <c r="E152" s="336">
        <f t="shared" ca="1" si="41"/>
        <v>424103</v>
      </c>
      <c r="F152" s="336">
        <f t="shared" ca="1" si="35"/>
        <v>386329.06099999999</v>
      </c>
      <c r="G152" s="336">
        <f t="shared" ca="1" si="38"/>
        <v>37773.938999999998</v>
      </c>
      <c r="H152" s="336">
        <f t="shared" ca="1" si="39"/>
        <v>9103519.1903000008</v>
      </c>
      <c r="I152" s="337">
        <f t="shared" ca="1" si="36"/>
        <v>-9103519</v>
      </c>
    </row>
    <row r="153" spans="1:9">
      <c r="A153" s="335">
        <f t="shared" si="34"/>
        <v>136</v>
      </c>
      <c r="B153" s="340">
        <f t="shared" si="40"/>
        <v>50406</v>
      </c>
      <c r="C153" s="336">
        <f t="shared" ca="1" si="37"/>
        <v>9103519.1903000008</v>
      </c>
      <c r="D153" s="335"/>
      <c r="E153" s="336">
        <f t="shared" si="41"/>
        <v>0</v>
      </c>
      <c r="F153" s="336">
        <f t="shared" ca="1" si="35"/>
        <v>-37931.33</v>
      </c>
      <c r="G153" s="336">
        <f t="shared" ca="1" si="38"/>
        <v>37931.33</v>
      </c>
      <c r="H153" s="336">
        <f t="shared" ca="1" si="39"/>
        <v>9141450.5203000009</v>
      </c>
      <c r="I153" s="337">
        <f t="shared" ca="1" si="36"/>
        <v>-9141451</v>
      </c>
    </row>
    <row r="154" spans="1:9">
      <c r="A154" s="335">
        <f t="shared" si="34"/>
        <v>137</v>
      </c>
      <c r="B154" s="340">
        <f t="shared" si="40"/>
        <v>50437</v>
      </c>
      <c r="C154" s="336">
        <f t="shared" ca="1" si="37"/>
        <v>9141450.5203000009</v>
      </c>
      <c r="D154" s="335"/>
      <c r="E154" s="336">
        <f t="shared" si="41"/>
        <v>0</v>
      </c>
      <c r="F154" s="336">
        <f t="shared" ca="1" si="35"/>
        <v>-38089.377</v>
      </c>
      <c r="G154" s="336">
        <f t="shared" ca="1" si="38"/>
        <v>38089.377</v>
      </c>
      <c r="H154" s="336">
        <f t="shared" ca="1" si="39"/>
        <v>9179539.8972999994</v>
      </c>
      <c r="I154" s="337">
        <f t="shared" ca="1" si="36"/>
        <v>-9179540</v>
      </c>
    </row>
    <row r="155" spans="1:9">
      <c r="A155" s="335">
        <f t="shared" si="34"/>
        <v>138</v>
      </c>
      <c r="B155" s="340">
        <f t="shared" si="40"/>
        <v>50465</v>
      </c>
      <c r="C155" s="336">
        <f t="shared" ca="1" si="37"/>
        <v>9179539.8972999994</v>
      </c>
      <c r="D155" s="335"/>
      <c r="E155" s="336">
        <f t="shared" ca="1" si="41"/>
        <v>424103</v>
      </c>
      <c r="F155" s="336">
        <f t="shared" ca="1" si="35"/>
        <v>387622.01299999998</v>
      </c>
      <c r="G155" s="336">
        <f t="shared" ca="1" si="38"/>
        <v>36480.987000000001</v>
      </c>
      <c r="H155" s="336">
        <f t="shared" ca="1" si="39"/>
        <v>8791917.8842999991</v>
      </c>
      <c r="I155" s="337">
        <f t="shared" ca="1" si="36"/>
        <v>-8791918</v>
      </c>
    </row>
    <row r="156" spans="1:9">
      <c r="A156" s="335">
        <f t="shared" si="34"/>
        <v>139</v>
      </c>
      <c r="B156" s="340">
        <f t="shared" si="40"/>
        <v>50496</v>
      </c>
      <c r="C156" s="336">
        <f t="shared" ca="1" si="37"/>
        <v>8791917.8842999991</v>
      </c>
      <c r="D156" s="335"/>
      <c r="E156" s="336">
        <f t="shared" si="41"/>
        <v>0</v>
      </c>
      <c r="F156" s="336">
        <f t="shared" ca="1" si="35"/>
        <v>-36632.991000000002</v>
      </c>
      <c r="G156" s="336">
        <f t="shared" ca="1" si="38"/>
        <v>36632.991000000002</v>
      </c>
      <c r="H156" s="336">
        <f t="shared" ca="1" si="39"/>
        <v>8828550.8752999995</v>
      </c>
      <c r="I156" s="337">
        <f t="shared" ca="1" si="36"/>
        <v>-8828551</v>
      </c>
    </row>
    <row r="157" spans="1:9">
      <c r="A157" s="335">
        <f t="shared" si="34"/>
        <v>140</v>
      </c>
      <c r="B157" s="340">
        <f t="shared" si="40"/>
        <v>50526</v>
      </c>
      <c r="C157" s="336">
        <f t="shared" ca="1" si="37"/>
        <v>8828550.8752999995</v>
      </c>
      <c r="D157" s="335"/>
      <c r="E157" s="336">
        <f t="shared" si="41"/>
        <v>0</v>
      </c>
      <c r="F157" s="336">
        <f t="shared" ca="1" si="35"/>
        <v>-36785.629000000001</v>
      </c>
      <c r="G157" s="336">
        <f t="shared" ca="1" si="38"/>
        <v>36785.629000000001</v>
      </c>
      <c r="H157" s="336">
        <f t="shared" ca="1" si="39"/>
        <v>8865336.5043000001</v>
      </c>
      <c r="I157" s="337">
        <f t="shared" ca="1" si="36"/>
        <v>-8865337</v>
      </c>
    </row>
    <row r="158" spans="1:9">
      <c r="A158" s="335">
        <f t="shared" si="34"/>
        <v>141</v>
      </c>
      <c r="B158" s="340">
        <f t="shared" si="40"/>
        <v>50557</v>
      </c>
      <c r="C158" s="336">
        <f t="shared" ca="1" si="37"/>
        <v>8865336.5043000001</v>
      </c>
      <c r="D158" s="335"/>
      <c r="E158" s="336">
        <f t="shared" ca="1" si="41"/>
        <v>424103</v>
      </c>
      <c r="F158" s="336">
        <f t="shared" ca="1" si="35"/>
        <v>388931.19400000002</v>
      </c>
      <c r="G158" s="336">
        <f t="shared" ca="1" si="38"/>
        <v>35171.805999999997</v>
      </c>
      <c r="H158" s="336">
        <f t="shared" ca="1" si="39"/>
        <v>8476405.3103</v>
      </c>
      <c r="I158" s="337">
        <f t="shared" ca="1" si="36"/>
        <v>-8476405</v>
      </c>
    </row>
    <row r="159" spans="1:9">
      <c r="A159" s="335">
        <f t="shared" si="34"/>
        <v>142</v>
      </c>
      <c r="B159" s="340">
        <f t="shared" si="40"/>
        <v>50587</v>
      </c>
      <c r="C159" s="336">
        <f t="shared" ca="1" si="37"/>
        <v>8476405.3103</v>
      </c>
      <c r="D159" s="335"/>
      <c r="E159" s="336">
        <f t="shared" si="41"/>
        <v>0</v>
      </c>
      <c r="F159" s="336">
        <f t="shared" ca="1" si="35"/>
        <v>-35318.355000000003</v>
      </c>
      <c r="G159" s="336">
        <f t="shared" ca="1" si="38"/>
        <v>35318.355000000003</v>
      </c>
      <c r="H159" s="336">
        <f t="shared" ca="1" si="39"/>
        <v>8511723.6653000005</v>
      </c>
      <c r="I159" s="337">
        <f t="shared" ca="1" si="36"/>
        <v>-8511724</v>
      </c>
    </row>
    <row r="160" spans="1:9">
      <c r="A160" s="335">
        <f t="shared" si="34"/>
        <v>143</v>
      </c>
      <c r="B160" s="340">
        <f t="shared" si="40"/>
        <v>50618</v>
      </c>
      <c r="C160" s="336">
        <f t="shared" ca="1" si="37"/>
        <v>8511723.6653000005</v>
      </c>
      <c r="D160" s="335"/>
      <c r="E160" s="336">
        <f t="shared" si="41"/>
        <v>0</v>
      </c>
      <c r="F160" s="336">
        <f t="shared" ca="1" si="35"/>
        <v>-35465.514999999999</v>
      </c>
      <c r="G160" s="336">
        <f t="shared" ca="1" si="38"/>
        <v>35465.514999999999</v>
      </c>
      <c r="H160" s="336">
        <f t="shared" ca="1" si="39"/>
        <v>8547189.1802999992</v>
      </c>
      <c r="I160" s="337">
        <f t="shared" ca="1" si="36"/>
        <v>-8547189</v>
      </c>
    </row>
    <row r="161" spans="1:9">
      <c r="A161" s="335">
        <f t="shared" si="34"/>
        <v>144</v>
      </c>
      <c r="B161" s="340">
        <f t="shared" si="40"/>
        <v>50649</v>
      </c>
      <c r="C161" s="336">
        <f t="shared" ca="1" si="37"/>
        <v>8547189.1802999992</v>
      </c>
      <c r="D161" s="336">
        <f ca="1">IF(H161&lt;0,0,0.25*(K29-L29))</f>
        <v>432996.25</v>
      </c>
      <c r="E161" s="336">
        <f t="shared" ca="1" si="41"/>
        <v>424103</v>
      </c>
      <c r="F161" s="336">
        <f t="shared" ca="1" si="35"/>
        <v>390256.80800000002</v>
      </c>
      <c r="G161" s="336">
        <f t="shared" ca="1" si="38"/>
        <v>33846.192000000003</v>
      </c>
      <c r="H161" s="336">
        <f t="shared" ca="1" si="39"/>
        <v>8156932.3722999999</v>
      </c>
      <c r="I161" s="337">
        <f t="shared" ca="1" si="36"/>
        <v>-7723936</v>
      </c>
    </row>
    <row r="162" spans="1:9">
      <c r="A162" s="335">
        <f t="shared" si="34"/>
        <v>145</v>
      </c>
      <c r="B162" s="340">
        <f t="shared" si="40"/>
        <v>50679</v>
      </c>
      <c r="C162" s="336">
        <f t="shared" ca="1" si="37"/>
        <v>8156932.3722999999</v>
      </c>
      <c r="D162" s="336"/>
      <c r="E162" s="336">
        <f t="shared" ref="E162:E173" si="42">IF($D$10=1,
 IF(OR(MONTH(B162)=MONTH(EDATE($D$7,0)),MONTH(B162)=MONTH(EDATE($D$7,3)),MONTH(B162)=MONTH(EDATE($D$7,6)),MONTH(B162)=MONTH(EDATE($D$7,9))),(MIN($D$161,H161)),0),
IF($D$10=0,
 IF(OR(MONTH(B162)=MONTH(EDATE($D$7,2)),MONTH(B162)=MONTH(EDATE($D$7,5)),MONTH(B162)=MONTH(EDATE($D$7,8)),MONTH(B162)=MONTH(EDATE($D$7,11))),(MIN($D$161,H161)),0)))</f>
        <v>0</v>
      </c>
      <c r="F162" s="336">
        <f t="shared" ca="1" si="35"/>
        <v>-33987.218000000001</v>
      </c>
      <c r="G162" s="336">
        <f t="shared" ca="1" si="38"/>
        <v>33987.218000000001</v>
      </c>
      <c r="H162" s="336">
        <f t="shared" ca="1" si="39"/>
        <v>8190919.5903000003</v>
      </c>
      <c r="I162" s="337">
        <f t="shared" ca="1" si="36"/>
        <v>-8190920</v>
      </c>
    </row>
    <row r="163" spans="1:9">
      <c r="A163" s="335">
        <f t="shared" si="34"/>
        <v>146</v>
      </c>
      <c r="B163" s="340">
        <f t="shared" si="40"/>
        <v>50710</v>
      </c>
      <c r="C163" s="336">
        <f t="shared" ca="1" si="37"/>
        <v>8190919.5903000003</v>
      </c>
      <c r="D163" s="336"/>
      <c r="E163" s="336">
        <f t="shared" si="42"/>
        <v>0</v>
      </c>
      <c r="F163" s="336">
        <f t="shared" ca="1" si="35"/>
        <v>-34128.832000000002</v>
      </c>
      <c r="G163" s="336">
        <f t="shared" ca="1" si="38"/>
        <v>34128.832000000002</v>
      </c>
      <c r="H163" s="336">
        <f t="shared" ca="1" si="39"/>
        <v>8225048.4222999997</v>
      </c>
      <c r="I163" s="337">
        <f t="shared" ca="1" si="36"/>
        <v>-8225048</v>
      </c>
    </row>
    <row r="164" spans="1:9">
      <c r="A164" s="335">
        <f t="shared" si="34"/>
        <v>147</v>
      </c>
      <c r="B164" s="340">
        <f t="shared" si="40"/>
        <v>50740</v>
      </c>
      <c r="C164" s="336">
        <f t="shared" ca="1" si="37"/>
        <v>8225048.4222999997</v>
      </c>
      <c r="D164" s="335"/>
      <c r="E164" s="336">
        <f t="shared" ca="1" si="42"/>
        <v>432996.25</v>
      </c>
      <c r="F164" s="336">
        <f t="shared" ca="1" si="35"/>
        <v>400529.36599999998</v>
      </c>
      <c r="G164" s="336">
        <f t="shared" ca="1" si="38"/>
        <v>32466.883999999998</v>
      </c>
      <c r="H164" s="336">
        <f t="shared" ca="1" si="39"/>
        <v>7824519.0563000003</v>
      </c>
      <c r="I164" s="337">
        <f t="shared" ca="1" si="36"/>
        <v>-7824519</v>
      </c>
    </row>
    <row r="165" spans="1:9">
      <c r="A165" s="335">
        <f t="shared" si="34"/>
        <v>148</v>
      </c>
      <c r="B165" s="340">
        <f t="shared" si="40"/>
        <v>50771</v>
      </c>
      <c r="C165" s="336">
        <f t="shared" ca="1" si="37"/>
        <v>7824519.0563000003</v>
      </c>
      <c r="D165" s="335"/>
      <c r="E165" s="336">
        <f t="shared" si="42"/>
        <v>0</v>
      </c>
      <c r="F165" s="336">
        <f t="shared" ca="1" si="35"/>
        <v>-32602.163</v>
      </c>
      <c r="G165" s="336">
        <f t="shared" ca="1" si="38"/>
        <v>32602.163</v>
      </c>
      <c r="H165" s="336">
        <f t="shared" ca="1" si="39"/>
        <v>7857121.2193</v>
      </c>
      <c r="I165" s="337">
        <f t="shared" ca="1" si="36"/>
        <v>-7857121</v>
      </c>
    </row>
    <row r="166" spans="1:9">
      <c r="A166" s="335">
        <f t="shared" si="34"/>
        <v>149</v>
      </c>
      <c r="B166" s="340">
        <f t="shared" si="40"/>
        <v>50802</v>
      </c>
      <c r="C166" s="336">
        <f t="shared" ca="1" si="37"/>
        <v>7857121.2193</v>
      </c>
      <c r="D166" s="335"/>
      <c r="E166" s="336">
        <f t="shared" si="42"/>
        <v>0</v>
      </c>
      <c r="F166" s="336">
        <f t="shared" ca="1" si="35"/>
        <v>-32738.005000000001</v>
      </c>
      <c r="G166" s="336">
        <f t="shared" ca="1" si="38"/>
        <v>32738.005000000001</v>
      </c>
      <c r="H166" s="336">
        <f t="shared" ca="1" si="39"/>
        <v>7889859.2242999999</v>
      </c>
      <c r="I166" s="337">
        <f t="shared" ca="1" si="36"/>
        <v>-7889859</v>
      </c>
    </row>
    <row r="167" spans="1:9">
      <c r="A167" s="335">
        <f t="shared" si="34"/>
        <v>150</v>
      </c>
      <c r="B167" s="340">
        <f t="shared" si="40"/>
        <v>50830</v>
      </c>
      <c r="C167" s="336">
        <f t="shared" ca="1" si="37"/>
        <v>7889859.2242999999</v>
      </c>
      <c r="D167" s="335"/>
      <c r="E167" s="336">
        <f t="shared" ca="1" si="42"/>
        <v>432996.25</v>
      </c>
      <c r="F167" s="336">
        <f t="shared" ca="1" si="35"/>
        <v>401925.98800000001</v>
      </c>
      <c r="G167" s="336">
        <f t="shared" ca="1" si="38"/>
        <v>31070.261999999999</v>
      </c>
      <c r="H167" s="336">
        <f t="shared" ca="1" si="39"/>
        <v>7487933.2363</v>
      </c>
      <c r="I167" s="337">
        <f t="shared" ca="1" si="36"/>
        <v>-7487933</v>
      </c>
    </row>
    <row r="168" spans="1:9">
      <c r="A168" s="335">
        <f t="shared" si="34"/>
        <v>151</v>
      </c>
      <c r="B168" s="340">
        <f t="shared" si="40"/>
        <v>50861</v>
      </c>
      <c r="C168" s="336">
        <f t="shared" ca="1" si="37"/>
        <v>7487933.2363</v>
      </c>
      <c r="D168" s="335"/>
      <c r="E168" s="336">
        <f t="shared" si="42"/>
        <v>0</v>
      </c>
      <c r="F168" s="336">
        <f t="shared" ca="1" si="35"/>
        <v>-31199.722000000002</v>
      </c>
      <c r="G168" s="336">
        <f t="shared" ca="1" si="38"/>
        <v>31199.722000000002</v>
      </c>
      <c r="H168" s="336">
        <f t="shared" ca="1" si="39"/>
        <v>7519132.9583000001</v>
      </c>
      <c r="I168" s="337">
        <f t="shared" ca="1" si="36"/>
        <v>-7519133</v>
      </c>
    </row>
    <row r="169" spans="1:9">
      <c r="A169" s="335">
        <f t="shared" si="34"/>
        <v>152</v>
      </c>
      <c r="B169" s="340">
        <f t="shared" si="40"/>
        <v>50891</v>
      </c>
      <c r="C169" s="336">
        <f t="shared" ca="1" si="37"/>
        <v>7519132.9583000001</v>
      </c>
      <c r="D169" s="335"/>
      <c r="E169" s="336">
        <f t="shared" si="42"/>
        <v>0</v>
      </c>
      <c r="F169" s="336">
        <f t="shared" ca="1" si="35"/>
        <v>-31329.721000000001</v>
      </c>
      <c r="G169" s="336">
        <f t="shared" ca="1" si="38"/>
        <v>31329.721000000001</v>
      </c>
      <c r="H169" s="336">
        <f t="shared" ca="1" si="39"/>
        <v>7550462.6793</v>
      </c>
      <c r="I169" s="337">
        <f t="shared" ca="1" si="36"/>
        <v>-7550463</v>
      </c>
    </row>
    <row r="170" spans="1:9">
      <c r="A170" s="335">
        <f t="shared" si="34"/>
        <v>153</v>
      </c>
      <c r="B170" s="340">
        <f t="shared" si="40"/>
        <v>50922</v>
      </c>
      <c r="C170" s="336">
        <f t="shared" ca="1" si="37"/>
        <v>7550462.6793</v>
      </c>
      <c r="D170" s="335"/>
      <c r="E170" s="336">
        <f t="shared" ca="1" si="42"/>
        <v>432996.25</v>
      </c>
      <c r="F170" s="336">
        <f t="shared" ca="1" si="35"/>
        <v>403340.14</v>
      </c>
      <c r="G170" s="336">
        <f t="shared" ca="1" si="38"/>
        <v>29656.11</v>
      </c>
      <c r="H170" s="336">
        <f t="shared" ca="1" si="39"/>
        <v>7147122.5393000003</v>
      </c>
      <c r="I170" s="337">
        <f t="shared" ca="1" si="36"/>
        <v>-7147123</v>
      </c>
    </row>
    <row r="171" spans="1:9">
      <c r="A171" s="335">
        <f t="shared" si="34"/>
        <v>154</v>
      </c>
      <c r="B171" s="340">
        <f t="shared" si="40"/>
        <v>50952</v>
      </c>
      <c r="C171" s="336">
        <f t="shared" ca="1" si="37"/>
        <v>7147122.5393000003</v>
      </c>
      <c r="D171" s="335"/>
      <c r="E171" s="336">
        <f t="shared" si="42"/>
        <v>0</v>
      </c>
      <c r="F171" s="336">
        <f t="shared" ca="1" si="35"/>
        <v>-29779.677</v>
      </c>
      <c r="G171" s="336">
        <f t="shared" ca="1" si="38"/>
        <v>29779.677</v>
      </c>
      <c r="H171" s="336">
        <f t="shared" ca="1" si="39"/>
        <v>7176902.2163000004</v>
      </c>
      <c r="I171" s="337">
        <f t="shared" ca="1" si="36"/>
        <v>-7176902</v>
      </c>
    </row>
    <row r="172" spans="1:9">
      <c r="A172" s="335">
        <f t="shared" si="34"/>
        <v>155</v>
      </c>
      <c r="B172" s="340">
        <f t="shared" si="40"/>
        <v>50983</v>
      </c>
      <c r="C172" s="336">
        <f t="shared" ca="1" si="37"/>
        <v>7176902.2163000004</v>
      </c>
      <c r="D172" s="335"/>
      <c r="E172" s="336">
        <f t="shared" si="42"/>
        <v>0</v>
      </c>
      <c r="F172" s="336">
        <f t="shared" ca="1" si="35"/>
        <v>-29903.758999999998</v>
      </c>
      <c r="G172" s="336">
        <f t="shared" ca="1" si="38"/>
        <v>29903.758999999998</v>
      </c>
      <c r="H172" s="336">
        <f t="shared" ca="1" si="39"/>
        <v>7206805.9753</v>
      </c>
      <c r="I172" s="337">
        <f t="shared" ca="1" si="36"/>
        <v>-7206806</v>
      </c>
    </row>
    <row r="173" spans="1:9">
      <c r="A173" s="335">
        <f t="shared" si="34"/>
        <v>156</v>
      </c>
      <c r="B173" s="340">
        <f t="shared" si="40"/>
        <v>51014</v>
      </c>
      <c r="C173" s="336">
        <f t="shared" ca="1" si="37"/>
        <v>7206805.9753</v>
      </c>
      <c r="D173" s="336">
        <f ca="1">IF(H173&lt;0,0,0.25*(K30-L30))</f>
        <v>442125.5</v>
      </c>
      <c r="E173" s="336">
        <f t="shared" ca="1" si="42"/>
        <v>432996.25</v>
      </c>
      <c r="F173" s="336">
        <f t="shared" ca="1" si="35"/>
        <v>404772.04300000001</v>
      </c>
      <c r="G173" s="336">
        <f t="shared" ca="1" si="38"/>
        <v>28224.206999999999</v>
      </c>
      <c r="H173" s="336">
        <f t="shared" ca="1" si="39"/>
        <v>6802033.9323000005</v>
      </c>
      <c r="I173" s="337">
        <f t="shared" ca="1" si="36"/>
        <v>-6359908</v>
      </c>
    </row>
    <row r="174" spans="1:9">
      <c r="A174" s="335">
        <f t="shared" si="34"/>
        <v>157</v>
      </c>
      <c r="B174" s="340">
        <f t="shared" si="40"/>
        <v>51044</v>
      </c>
      <c r="C174" s="336">
        <f t="shared" ca="1" si="37"/>
        <v>6802033.9323000005</v>
      </c>
      <c r="D174" s="336"/>
      <c r="E174" s="336">
        <f t="shared" ref="E174:E185" si="43">IF($D$10=1,
 IF(OR(MONTH(B174)=MONTH(EDATE($D$7,0)),MONTH(B174)=MONTH(EDATE($D$7,3)),MONTH(B174)=MONTH(EDATE($D$7,6)),MONTH(B174)=MONTH(EDATE($D$7,9))),(MIN($D$173,H173)),0),
IF($D$10=0,
 IF(OR(MONTH(B174)=MONTH(EDATE($D$7,2)),MONTH(B174)=MONTH(EDATE($D$7,5)),MONTH(B174)=MONTH(EDATE($D$7,8)),MONTH(B174)=MONTH(EDATE($D$7,11))),(MIN($D$173,H173)),0)))</f>
        <v>0</v>
      </c>
      <c r="F174" s="336">
        <f t="shared" ca="1" si="35"/>
        <v>-28341.808000000001</v>
      </c>
      <c r="G174" s="336">
        <f t="shared" ca="1" si="38"/>
        <v>28341.808000000001</v>
      </c>
      <c r="H174" s="336">
        <f t="shared" ca="1" si="39"/>
        <v>6830375.7402999997</v>
      </c>
      <c r="I174" s="337">
        <f t="shared" ca="1" si="36"/>
        <v>-6830376</v>
      </c>
    </row>
    <row r="175" spans="1:9">
      <c r="A175" s="335">
        <f t="shared" si="34"/>
        <v>158</v>
      </c>
      <c r="B175" s="340">
        <f t="shared" si="40"/>
        <v>51075</v>
      </c>
      <c r="C175" s="336">
        <f t="shared" ca="1" si="37"/>
        <v>6830375.7402999997</v>
      </c>
      <c r="D175" s="335"/>
      <c r="E175" s="336">
        <f t="shared" si="43"/>
        <v>0</v>
      </c>
      <c r="F175" s="336">
        <f t="shared" ca="1" si="35"/>
        <v>-28459.899000000001</v>
      </c>
      <c r="G175" s="336">
        <f t="shared" ca="1" si="38"/>
        <v>28459.899000000001</v>
      </c>
      <c r="H175" s="336">
        <f t="shared" ca="1" si="39"/>
        <v>6858835.6392999999</v>
      </c>
      <c r="I175" s="337">
        <f t="shared" ca="1" si="36"/>
        <v>-6858836</v>
      </c>
    </row>
    <row r="176" spans="1:9">
      <c r="A176" s="335">
        <f t="shared" si="34"/>
        <v>159</v>
      </c>
      <c r="B176" s="340">
        <f t="shared" si="40"/>
        <v>51105</v>
      </c>
      <c r="C176" s="336">
        <f t="shared" ca="1" si="37"/>
        <v>6858835.6392999999</v>
      </c>
      <c r="D176" s="335"/>
      <c r="E176" s="336">
        <f t="shared" ca="1" si="43"/>
        <v>442125.5</v>
      </c>
      <c r="F176" s="336">
        <f t="shared" ca="1" si="35"/>
        <v>415389.20799999998</v>
      </c>
      <c r="G176" s="336">
        <f t="shared" ca="1" si="38"/>
        <v>26736.292000000001</v>
      </c>
      <c r="H176" s="336">
        <f t="shared" ca="1" si="39"/>
        <v>6443446.4313000003</v>
      </c>
      <c r="I176" s="337">
        <f t="shared" ca="1" si="36"/>
        <v>-6443446</v>
      </c>
    </row>
    <row r="177" spans="1:9">
      <c r="A177" s="335">
        <f t="shared" si="34"/>
        <v>160</v>
      </c>
      <c r="B177" s="340">
        <f t="shared" si="40"/>
        <v>51136</v>
      </c>
      <c r="C177" s="336">
        <f t="shared" ca="1" si="37"/>
        <v>6443446.4313000003</v>
      </c>
      <c r="D177" s="335"/>
      <c r="E177" s="336">
        <f t="shared" si="43"/>
        <v>0</v>
      </c>
      <c r="F177" s="336">
        <f t="shared" ca="1" si="35"/>
        <v>-26847.692999999999</v>
      </c>
      <c r="G177" s="336">
        <f t="shared" ca="1" si="38"/>
        <v>26847.692999999999</v>
      </c>
      <c r="H177" s="336">
        <f t="shared" ca="1" si="39"/>
        <v>6470294.1243000003</v>
      </c>
      <c r="I177" s="337">
        <f t="shared" ca="1" si="36"/>
        <v>-6470294</v>
      </c>
    </row>
    <row r="178" spans="1:9">
      <c r="A178" s="335">
        <f t="shared" si="34"/>
        <v>161</v>
      </c>
      <c r="B178" s="340">
        <f t="shared" si="40"/>
        <v>51167</v>
      </c>
      <c r="C178" s="336">
        <f t="shared" ca="1" si="37"/>
        <v>6470294.1243000003</v>
      </c>
      <c r="D178" s="335"/>
      <c r="E178" s="336">
        <f t="shared" si="43"/>
        <v>0</v>
      </c>
      <c r="F178" s="336">
        <f t="shared" ca="1" si="35"/>
        <v>-26959.559000000001</v>
      </c>
      <c r="G178" s="336">
        <f t="shared" ca="1" si="38"/>
        <v>26959.559000000001</v>
      </c>
      <c r="H178" s="336">
        <f t="shared" ca="1" si="39"/>
        <v>6497253.6832999997</v>
      </c>
      <c r="I178" s="337">
        <f t="shared" ca="1" si="36"/>
        <v>-6497254</v>
      </c>
    </row>
    <row r="179" spans="1:9">
      <c r="A179" s="335">
        <f t="shared" si="34"/>
        <v>162</v>
      </c>
      <c r="B179" s="340">
        <f t="shared" si="40"/>
        <v>51196</v>
      </c>
      <c r="C179" s="336">
        <f t="shared" ca="1" si="37"/>
        <v>6497253.6832999997</v>
      </c>
      <c r="D179" s="335"/>
      <c r="E179" s="336">
        <f t="shared" ca="1" si="43"/>
        <v>442125.5</v>
      </c>
      <c r="F179" s="336">
        <f t="shared" ca="1" si="35"/>
        <v>416895.799</v>
      </c>
      <c r="G179" s="336">
        <f t="shared" ca="1" si="38"/>
        <v>25229.701000000001</v>
      </c>
      <c r="H179" s="336">
        <f t="shared" ca="1" si="39"/>
        <v>6080357.8843</v>
      </c>
      <c r="I179" s="337">
        <f t="shared" ca="1" si="36"/>
        <v>-6080358</v>
      </c>
    </row>
    <row r="180" spans="1:9">
      <c r="A180" s="335">
        <f t="shared" si="34"/>
        <v>163</v>
      </c>
      <c r="B180" s="340">
        <f t="shared" si="40"/>
        <v>51227</v>
      </c>
      <c r="C180" s="336">
        <f t="shared" ca="1" si="37"/>
        <v>6080357.8843</v>
      </c>
      <c r="D180" s="335"/>
      <c r="E180" s="336">
        <f t="shared" si="43"/>
        <v>0</v>
      </c>
      <c r="F180" s="336">
        <f t="shared" ca="1" si="35"/>
        <v>-25334.825000000001</v>
      </c>
      <c r="G180" s="336">
        <f t="shared" ca="1" si="38"/>
        <v>25334.825000000001</v>
      </c>
      <c r="H180" s="336">
        <f t="shared" ca="1" si="39"/>
        <v>6105692.7093000002</v>
      </c>
      <c r="I180" s="337">
        <f t="shared" ca="1" si="36"/>
        <v>-6105693</v>
      </c>
    </row>
    <row r="181" spans="1:9">
      <c r="A181" s="335">
        <f t="shared" si="34"/>
        <v>164</v>
      </c>
      <c r="B181" s="340">
        <f t="shared" si="40"/>
        <v>51257</v>
      </c>
      <c r="C181" s="336">
        <f t="shared" ca="1" si="37"/>
        <v>6105692.7093000002</v>
      </c>
      <c r="D181" s="335"/>
      <c r="E181" s="336">
        <f t="shared" si="43"/>
        <v>0</v>
      </c>
      <c r="F181" s="336">
        <f t="shared" ca="1" si="35"/>
        <v>-25440.385999999999</v>
      </c>
      <c r="G181" s="336">
        <f t="shared" ca="1" si="38"/>
        <v>25440.385999999999</v>
      </c>
      <c r="H181" s="336">
        <f t="shared" ca="1" si="39"/>
        <v>6131133.0953000002</v>
      </c>
      <c r="I181" s="337">
        <f t="shared" ca="1" si="36"/>
        <v>-6131133</v>
      </c>
    </row>
    <row r="182" spans="1:9">
      <c r="A182" s="335">
        <f t="shared" si="34"/>
        <v>165</v>
      </c>
      <c r="B182" s="340">
        <f t="shared" si="40"/>
        <v>51288</v>
      </c>
      <c r="C182" s="336">
        <f t="shared" ca="1" si="37"/>
        <v>6131133.0953000002</v>
      </c>
      <c r="D182" s="335"/>
      <c r="E182" s="336">
        <f t="shared" ca="1" si="43"/>
        <v>442125.5</v>
      </c>
      <c r="F182" s="336">
        <f t="shared" ca="1" si="35"/>
        <v>418421.30200000003</v>
      </c>
      <c r="G182" s="336">
        <f t="shared" ca="1" si="38"/>
        <v>23704.198</v>
      </c>
      <c r="H182" s="336">
        <f t="shared" ca="1" si="39"/>
        <v>5712711.7933</v>
      </c>
      <c r="I182" s="337">
        <f t="shared" ca="1" si="36"/>
        <v>-5712712</v>
      </c>
    </row>
    <row r="183" spans="1:9">
      <c r="A183" s="335">
        <f t="shared" si="34"/>
        <v>166</v>
      </c>
      <c r="B183" s="340">
        <f t="shared" si="40"/>
        <v>51318</v>
      </c>
      <c r="C183" s="336">
        <f t="shared" ca="1" si="37"/>
        <v>5712711.7933</v>
      </c>
      <c r="D183" s="335"/>
      <c r="E183" s="336">
        <f t="shared" si="43"/>
        <v>0</v>
      </c>
      <c r="F183" s="336">
        <f t="shared" ca="1" si="35"/>
        <v>-23802.966</v>
      </c>
      <c r="G183" s="336">
        <f t="shared" ca="1" si="38"/>
        <v>23802.966</v>
      </c>
      <c r="H183" s="336">
        <f t="shared" ca="1" si="39"/>
        <v>5736514.7593</v>
      </c>
      <c r="I183" s="337">
        <f t="shared" ca="1" si="36"/>
        <v>-5736515</v>
      </c>
    </row>
    <row r="184" spans="1:9">
      <c r="A184" s="335">
        <f t="shared" si="34"/>
        <v>167</v>
      </c>
      <c r="B184" s="340">
        <f t="shared" si="40"/>
        <v>51349</v>
      </c>
      <c r="C184" s="336">
        <f t="shared" ca="1" si="37"/>
        <v>5736514.7593</v>
      </c>
      <c r="D184" s="335"/>
      <c r="E184" s="336">
        <f t="shared" si="43"/>
        <v>0</v>
      </c>
      <c r="F184" s="336">
        <f t="shared" ca="1" si="35"/>
        <v>-23902.145</v>
      </c>
      <c r="G184" s="336">
        <f t="shared" ca="1" si="38"/>
        <v>23902.145</v>
      </c>
      <c r="H184" s="336">
        <f t="shared" ca="1" si="39"/>
        <v>5760416.9042999996</v>
      </c>
      <c r="I184" s="337">
        <f t="shared" ca="1" si="36"/>
        <v>-5760417</v>
      </c>
    </row>
    <row r="185" spans="1:9">
      <c r="A185" s="335">
        <f t="shared" si="34"/>
        <v>168</v>
      </c>
      <c r="B185" s="340">
        <f t="shared" si="40"/>
        <v>51380</v>
      </c>
      <c r="C185" s="336">
        <f t="shared" ca="1" si="37"/>
        <v>5760416.9042999996</v>
      </c>
      <c r="D185" s="336">
        <f ca="1">IF(H185&lt;0,0,0.25*(K31-L31))</f>
        <v>451498.25</v>
      </c>
      <c r="E185" s="336">
        <f t="shared" ca="1" si="43"/>
        <v>442125.5</v>
      </c>
      <c r="F185" s="336">
        <f t="shared" ca="1" si="35"/>
        <v>419965.95199999999</v>
      </c>
      <c r="G185" s="336">
        <f t="shared" ca="1" si="38"/>
        <v>22159.547999999999</v>
      </c>
      <c r="H185" s="336">
        <f t="shared" ca="1" si="39"/>
        <v>5340450.9523</v>
      </c>
      <c r="I185" s="337">
        <f t="shared" ca="1" si="36"/>
        <v>-4888953</v>
      </c>
    </row>
    <row r="186" spans="1:9">
      <c r="A186" s="335">
        <f t="shared" si="34"/>
        <v>169</v>
      </c>
      <c r="B186" s="340">
        <f t="shared" si="40"/>
        <v>51410</v>
      </c>
      <c r="C186" s="336">
        <f t="shared" ca="1" si="37"/>
        <v>5340450.9523</v>
      </c>
      <c r="D186" s="336"/>
      <c r="E186" s="336">
        <f t="shared" ref="E186:E197" si="44">IF($D$10=1,
 IF(OR(MONTH(B186)=MONTH(EDATE($D$7,0)),MONTH(B186)=MONTH(EDATE($D$7,3)),MONTH(B186)=MONTH(EDATE($D$7,6)),MONTH(B186)=MONTH(EDATE($D$7,9))),(MIN($D$185,H185)),0),
IF($D$10=0,
 IF(OR(MONTH(B186)=MONTH(EDATE($D$7,2)),MONTH(B186)=MONTH(EDATE($D$7,5)),MONTH(B186)=MONTH(EDATE($D$7,8)),MONTH(B186)=MONTH(EDATE($D$7,11))),(MIN($D$185,H185)),0)))</f>
        <v>0</v>
      </c>
      <c r="F186" s="336">
        <f t="shared" ca="1" si="35"/>
        <v>-22251.879000000001</v>
      </c>
      <c r="G186" s="336">
        <f t="shared" ca="1" si="38"/>
        <v>22251.879000000001</v>
      </c>
      <c r="H186" s="336">
        <f t="shared" ca="1" si="39"/>
        <v>5362702.8312999997</v>
      </c>
      <c r="I186" s="337">
        <f t="shared" ca="1" si="36"/>
        <v>-5362703</v>
      </c>
    </row>
    <row r="187" spans="1:9">
      <c r="A187" s="335">
        <f t="shared" si="34"/>
        <v>170</v>
      </c>
      <c r="B187" s="340">
        <f t="shared" si="40"/>
        <v>51441</v>
      </c>
      <c r="C187" s="336">
        <f t="shared" ca="1" si="37"/>
        <v>5362702.8312999997</v>
      </c>
      <c r="D187" s="335"/>
      <c r="E187" s="336">
        <f t="shared" si="44"/>
        <v>0</v>
      </c>
      <c r="F187" s="336">
        <f t="shared" ca="1" si="35"/>
        <v>-22344.595000000001</v>
      </c>
      <c r="G187" s="336">
        <f t="shared" ca="1" si="38"/>
        <v>22344.595000000001</v>
      </c>
      <c r="H187" s="336">
        <f t="shared" ca="1" si="39"/>
        <v>5385047.4263000004</v>
      </c>
      <c r="I187" s="337">
        <f t="shared" ca="1" si="36"/>
        <v>-5385047</v>
      </c>
    </row>
    <row r="188" spans="1:9">
      <c r="A188" s="335">
        <f t="shared" si="34"/>
        <v>171</v>
      </c>
      <c r="B188" s="340">
        <f t="shared" si="40"/>
        <v>51471</v>
      </c>
      <c r="C188" s="336">
        <f t="shared" ca="1" si="37"/>
        <v>5385047.4263000004</v>
      </c>
      <c r="D188" s="335"/>
      <c r="E188" s="336">
        <f t="shared" ca="1" si="44"/>
        <v>451498.25</v>
      </c>
      <c r="F188" s="336">
        <f t="shared" ca="1" si="35"/>
        <v>430941.79499999998</v>
      </c>
      <c r="G188" s="336">
        <f t="shared" ca="1" si="38"/>
        <v>20556.455000000002</v>
      </c>
      <c r="H188" s="336">
        <f t="shared" ca="1" si="39"/>
        <v>4954105.6312999995</v>
      </c>
      <c r="I188" s="337">
        <f t="shared" ca="1" si="36"/>
        <v>-4954106</v>
      </c>
    </row>
    <row r="189" spans="1:9">
      <c r="A189" s="335">
        <f t="shared" si="34"/>
        <v>172</v>
      </c>
      <c r="B189" s="340">
        <f t="shared" si="40"/>
        <v>51502</v>
      </c>
      <c r="C189" s="336">
        <f t="shared" ca="1" si="37"/>
        <v>4954105.6312999995</v>
      </c>
      <c r="D189" s="335"/>
      <c r="E189" s="336">
        <f t="shared" si="44"/>
        <v>0</v>
      </c>
      <c r="F189" s="336">
        <f t="shared" ca="1" si="35"/>
        <v>-20642.107</v>
      </c>
      <c r="G189" s="336">
        <f t="shared" ca="1" si="38"/>
        <v>20642.107</v>
      </c>
      <c r="H189" s="336">
        <f t="shared" ca="1" si="39"/>
        <v>4974747.7383000003</v>
      </c>
      <c r="I189" s="337">
        <f t="shared" ca="1" si="36"/>
        <v>-4974748</v>
      </c>
    </row>
    <row r="190" spans="1:9">
      <c r="A190" s="335">
        <f t="shared" si="34"/>
        <v>173</v>
      </c>
      <c r="B190" s="340">
        <f t="shared" si="40"/>
        <v>51533</v>
      </c>
      <c r="C190" s="336">
        <f t="shared" ca="1" si="37"/>
        <v>4974747.7383000003</v>
      </c>
      <c r="D190" s="335"/>
      <c r="E190" s="336">
        <f t="shared" si="44"/>
        <v>0</v>
      </c>
      <c r="F190" s="336">
        <f t="shared" ca="1" si="35"/>
        <v>-20728.116000000002</v>
      </c>
      <c r="G190" s="336">
        <f t="shared" ca="1" si="38"/>
        <v>20728.116000000002</v>
      </c>
      <c r="H190" s="336">
        <f t="shared" ca="1" si="39"/>
        <v>4995475.8542999998</v>
      </c>
      <c r="I190" s="337">
        <f t="shared" ca="1" si="36"/>
        <v>-4995476</v>
      </c>
    </row>
    <row r="191" spans="1:9">
      <c r="A191" s="335">
        <f t="shared" si="34"/>
        <v>174</v>
      </c>
      <c r="B191" s="340">
        <f t="shared" si="40"/>
        <v>51561</v>
      </c>
      <c r="C191" s="336">
        <f t="shared" ca="1" si="37"/>
        <v>4995475.8542999998</v>
      </c>
      <c r="D191" s="335"/>
      <c r="E191" s="336">
        <f t="shared" ca="1" si="44"/>
        <v>451498.25</v>
      </c>
      <c r="F191" s="336">
        <f t="shared" ca="1" si="35"/>
        <v>432565.01</v>
      </c>
      <c r="G191" s="336">
        <f t="shared" ca="1" si="38"/>
        <v>18933.240000000002</v>
      </c>
      <c r="H191" s="336">
        <f t="shared" ca="1" si="39"/>
        <v>4562910.8443</v>
      </c>
      <c r="I191" s="337">
        <f t="shared" ca="1" si="36"/>
        <v>-4562911</v>
      </c>
    </row>
    <row r="192" spans="1:9">
      <c r="A192" s="335">
        <f t="shared" si="34"/>
        <v>175</v>
      </c>
      <c r="B192" s="340">
        <f t="shared" si="40"/>
        <v>51592</v>
      </c>
      <c r="C192" s="336">
        <f t="shared" ca="1" si="37"/>
        <v>4562910.8443</v>
      </c>
      <c r="D192" s="335"/>
      <c r="E192" s="336">
        <f t="shared" si="44"/>
        <v>0</v>
      </c>
      <c r="F192" s="336">
        <f t="shared" ca="1" si="35"/>
        <v>-19012.129000000001</v>
      </c>
      <c r="G192" s="336">
        <f t="shared" ca="1" si="38"/>
        <v>19012.129000000001</v>
      </c>
      <c r="H192" s="336">
        <f t="shared" ca="1" si="39"/>
        <v>4581922.9732999997</v>
      </c>
      <c r="I192" s="337">
        <f t="shared" ca="1" si="36"/>
        <v>-4581923</v>
      </c>
    </row>
    <row r="193" spans="1:9">
      <c r="A193" s="335">
        <f t="shared" si="34"/>
        <v>176</v>
      </c>
      <c r="B193" s="340">
        <f t="shared" si="40"/>
        <v>51622</v>
      </c>
      <c r="C193" s="336">
        <f t="shared" ca="1" si="37"/>
        <v>4581922.9732999997</v>
      </c>
      <c r="D193" s="335"/>
      <c r="E193" s="336">
        <f t="shared" si="44"/>
        <v>0</v>
      </c>
      <c r="F193" s="336">
        <f t="shared" ca="1" si="35"/>
        <v>-19091.346000000001</v>
      </c>
      <c r="G193" s="336">
        <f t="shared" ca="1" si="38"/>
        <v>19091.346000000001</v>
      </c>
      <c r="H193" s="336">
        <f t="shared" ca="1" si="39"/>
        <v>4601014.3192999996</v>
      </c>
      <c r="I193" s="337">
        <f t="shared" ca="1" si="36"/>
        <v>-4601014</v>
      </c>
    </row>
    <row r="194" spans="1:9">
      <c r="A194" s="335">
        <f t="shared" si="34"/>
        <v>177</v>
      </c>
      <c r="B194" s="340">
        <f t="shared" si="40"/>
        <v>51653</v>
      </c>
      <c r="C194" s="336">
        <f t="shared" ca="1" si="37"/>
        <v>4601014.3192999996</v>
      </c>
      <c r="D194" s="335"/>
      <c r="E194" s="336">
        <f t="shared" ca="1" si="44"/>
        <v>451498.25</v>
      </c>
      <c r="F194" s="336">
        <f t="shared" ca="1" si="35"/>
        <v>434208.6</v>
      </c>
      <c r="G194" s="336">
        <f t="shared" ca="1" si="38"/>
        <v>17289.650000000001</v>
      </c>
      <c r="H194" s="336">
        <f t="shared" ca="1" si="39"/>
        <v>4166805.7193</v>
      </c>
      <c r="I194" s="337">
        <f t="shared" ca="1" si="36"/>
        <v>-4166806</v>
      </c>
    </row>
    <row r="195" spans="1:9">
      <c r="A195" s="335">
        <f t="shared" si="34"/>
        <v>178</v>
      </c>
      <c r="B195" s="340">
        <f t="shared" si="40"/>
        <v>51683</v>
      </c>
      <c r="C195" s="336">
        <f t="shared" ca="1" si="37"/>
        <v>4166805.7193</v>
      </c>
      <c r="D195" s="335"/>
      <c r="E195" s="336">
        <f t="shared" si="44"/>
        <v>0</v>
      </c>
      <c r="F195" s="336">
        <f t="shared" ca="1" si="35"/>
        <v>-17361.689999999999</v>
      </c>
      <c r="G195" s="336">
        <f t="shared" ca="1" si="38"/>
        <v>17361.689999999999</v>
      </c>
      <c r="H195" s="336">
        <f t="shared" ca="1" si="39"/>
        <v>4184167.4092999999</v>
      </c>
      <c r="I195" s="337">
        <f t="shared" ca="1" si="36"/>
        <v>-4184167</v>
      </c>
    </row>
    <row r="196" spans="1:9">
      <c r="A196" s="335">
        <f t="shared" si="34"/>
        <v>179</v>
      </c>
      <c r="B196" s="340">
        <f t="shared" si="40"/>
        <v>51714</v>
      </c>
      <c r="C196" s="336">
        <f t="shared" ca="1" si="37"/>
        <v>4184167.4092999999</v>
      </c>
      <c r="D196" s="335"/>
      <c r="E196" s="336">
        <f t="shared" si="44"/>
        <v>0</v>
      </c>
      <c r="F196" s="336">
        <f t="shared" ca="1" si="35"/>
        <v>-17434.030999999999</v>
      </c>
      <c r="G196" s="336">
        <f t="shared" ca="1" si="38"/>
        <v>17434.030999999999</v>
      </c>
      <c r="H196" s="336">
        <f t="shared" ca="1" si="39"/>
        <v>4201601.4402999999</v>
      </c>
      <c r="I196" s="337">
        <f t="shared" ca="1" si="36"/>
        <v>-4201601</v>
      </c>
    </row>
    <row r="197" spans="1:9">
      <c r="A197" s="335">
        <f t="shared" si="34"/>
        <v>180</v>
      </c>
      <c r="B197" s="340">
        <f t="shared" si="40"/>
        <v>51745</v>
      </c>
      <c r="C197" s="336">
        <f t="shared" ca="1" si="37"/>
        <v>4201601.4402999999</v>
      </c>
      <c r="D197" s="336">
        <f ca="1">IF(H197&lt;0,0,0.25*(K32-L32))</f>
        <v>461121.25</v>
      </c>
      <c r="E197" s="336">
        <f t="shared" ca="1" si="44"/>
        <v>451498.25</v>
      </c>
      <c r="F197" s="336">
        <f t="shared" ca="1" si="35"/>
        <v>435872.82</v>
      </c>
      <c r="G197" s="336">
        <f t="shared" ca="1" si="38"/>
        <v>15625.43</v>
      </c>
      <c r="H197" s="336">
        <f t="shared" ca="1" si="39"/>
        <v>3765728.6203000001</v>
      </c>
      <c r="I197" s="337">
        <f t="shared" ca="1" si="36"/>
        <v>-3304607</v>
      </c>
    </row>
    <row r="198" spans="1:9">
      <c r="A198" s="335">
        <f t="shared" si="34"/>
        <v>181</v>
      </c>
      <c r="B198" s="340">
        <f t="shared" si="40"/>
        <v>51775</v>
      </c>
      <c r="C198" s="336">
        <f t="shared" ca="1" si="37"/>
        <v>3765728.6203000001</v>
      </c>
      <c r="D198" s="336"/>
      <c r="E198" s="336">
        <f t="shared" ref="E198:E209" si="45">IF($D$10=1,
 IF(OR(MONTH(B198)=MONTH(EDATE($D$7,0)),MONTH(B198)=MONTH(EDATE($D$7,3)),MONTH(B198)=MONTH(EDATE($D$7,6)),MONTH(B198)=MONTH(EDATE($D$7,9))),(MIN($D$197,H197)),0),
IF($D$10=0,
 IF(OR(MONTH(B198)=MONTH(EDATE($D$7,2)),MONTH(B198)=MONTH(EDATE($D$7,5)),MONTH(B198)=MONTH(EDATE($D$7,8)),MONTH(B198)=MONTH(EDATE($D$7,11))),(MIN($D$197,H197)),0)))</f>
        <v>0</v>
      </c>
      <c r="F198" s="336">
        <f t="shared" ca="1" si="35"/>
        <v>-15690.536</v>
      </c>
      <c r="G198" s="336">
        <f t="shared" ca="1" si="38"/>
        <v>15690.536</v>
      </c>
      <c r="H198" s="336">
        <f t="shared" ca="1" si="39"/>
        <v>3781419.1562999999</v>
      </c>
      <c r="I198" s="337">
        <f t="shared" ca="1" si="36"/>
        <v>-3781419</v>
      </c>
    </row>
    <row r="199" spans="1:9">
      <c r="A199" s="335">
        <f t="shared" si="34"/>
        <v>182</v>
      </c>
      <c r="B199" s="340">
        <f t="shared" si="40"/>
        <v>51806</v>
      </c>
      <c r="C199" s="336">
        <f t="shared" ca="1" si="37"/>
        <v>3781419.1562999999</v>
      </c>
      <c r="D199" s="335"/>
      <c r="E199" s="336">
        <f t="shared" si="45"/>
        <v>0</v>
      </c>
      <c r="F199" s="336">
        <f t="shared" ca="1" si="35"/>
        <v>-15755.913</v>
      </c>
      <c r="G199" s="336">
        <f t="shared" ca="1" si="38"/>
        <v>15755.913</v>
      </c>
      <c r="H199" s="336">
        <f t="shared" ca="1" si="39"/>
        <v>3797175.0693000001</v>
      </c>
      <c r="I199" s="337">
        <f t="shared" ca="1" si="36"/>
        <v>-3797175</v>
      </c>
    </row>
    <row r="200" spans="1:9">
      <c r="A200" s="335">
        <f t="shared" si="34"/>
        <v>183</v>
      </c>
      <c r="B200" s="340">
        <f t="shared" si="40"/>
        <v>51836</v>
      </c>
      <c r="C200" s="336">
        <f t="shared" ca="1" si="37"/>
        <v>3797175.0693000001</v>
      </c>
      <c r="D200" s="335"/>
      <c r="E200" s="336">
        <f t="shared" ca="1" si="45"/>
        <v>461121.25</v>
      </c>
      <c r="F200" s="336">
        <f t="shared" ca="1" si="35"/>
        <v>447221.02600000001</v>
      </c>
      <c r="G200" s="336">
        <f t="shared" ca="1" si="38"/>
        <v>13900.224</v>
      </c>
      <c r="H200" s="336">
        <f t="shared" ca="1" si="39"/>
        <v>3349954.0433</v>
      </c>
      <c r="I200" s="337">
        <f t="shared" ca="1" si="36"/>
        <v>-3349954</v>
      </c>
    </row>
    <row r="201" spans="1:9">
      <c r="A201" s="335">
        <f t="shared" si="34"/>
        <v>184</v>
      </c>
      <c r="B201" s="340">
        <f t="shared" si="40"/>
        <v>51867</v>
      </c>
      <c r="C201" s="336">
        <f t="shared" ca="1" si="37"/>
        <v>3349954.0433</v>
      </c>
      <c r="D201" s="335"/>
      <c r="E201" s="336">
        <f t="shared" si="45"/>
        <v>0</v>
      </c>
      <c r="F201" s="336">
        <f t="shared" ca="1" si="35"/>
        <v>-13958.142</v>
      </c>
      <c r="G201" s="336">
        <f t="shared" ca="1" si="38"/>
        <v>13958.142</v>
      </c>
      <c r="H201" s="336">
        <f t="shared" ca="1" si="39"/>
        <v>3363912.1853</v>
      </c>
      <c r="I201" s="337">
        <f t="shared" ca="1" si="36"/>
        <v>-3363912</v>
      </c>
    </row>
    <row r="202" spans="1:9">
      <c r="A202" s="335">
        <f t="shared" si="34"/>
        <v>185</v>
      </c>
      <c r="B202" s="340">
        <f t="shared" si="40"/>
        <v>51898</v>
      </c>
      <c r="C202" s="336">
        <f t="shared" ca="1" si="37"/>
        <v>3363912.1853</v>
      </c>
      <c r="D202" s="335"/>
      <c r="E202" s="336">
        <f t="shared" si="45"/>
        <v>0</v>
      </c>
      <c r="F202" s="336">
        <f t="shared" ca="1" si="35"/>
        <v>-14016.300999999999</v>
      </c>
      <c r="G202" s="336">
        <f t="shared" ca="1" si="38"/>
        <v>14016.300999999999</v>
      </c>
      <c r="H202" s="336">
        <f t="shared" ca="1" si="39"/>
        <v>3377928.4863</v>
      </c>
      <c r="I202" s="337">
        <f t="shared" ca="1" si="36"/>
        <v>-3377928</v>
      </c>
    </row>
    <row r="203" spans="1:9">
      <c r="A203" s="335">
        <f t="shared" si="34"/>
        <v>186</v>
      </c>
      <c r="B203" s="340">
        <f t="shared" si="40"/>
        <v>51926</v>
      </c>
      <c r="C203" s="336">
        <f t="shared" ca="1" si="37"/>
        <v>3377928.4863</v>
      </c>
      <c r="D203" s="335"/>
      <c r="E203" s="336">
        <f t="shared" ca="1" si="45"/>
        <v>461121.25</v>
      </c>
      <c r="F203" s="336">
        <f t="shared" ca="1" si="35"/>
        <v>448967.88699999999</v>
      </c>
      <c r="G203" s="336">
        <f t="shared" ca="1" si="38"/>
        <v>12153.362999999999</v>
      </c>
      <c r="H203" s="336">
        <f t="shared" ca="1" si="39"/>
        <v>2928960.5992999999</v>
      </c>
      <c r="I203" s="337">
        <f t="shared" ca="1" si="36"/>
        <v>-2928961</v>
      </c>
    </row>
    <row r="204" spans="1:9">
      <c r="A204" s="335">
        <f t="shared" si="34"/>
        <v>187</v>
      </c>
      <c r="B204" s="340">
        <f t="shared" si="40"/>
        <v>51957</v>
      </c>
      <c r="C204" s="336">
        <f t="shared" ca="1" si="37"/>
        <v>2928960.5992999999</v>
      </c>
      <c r="D204" s="335"/>
      <c r="E204" s="336">
        <f t="shared" si="45"/>
        <v>0</v>
      </c>
      <c r="F204" s="336">
        <f t="shared" ca="1" si="35"/>
        <v>-12204.002</v>
      </c>
      <c r="G204" s="336">
        <f t="shared" ca="1" si="38"/>
        <v>12204.002</v>
      </c>
      <c r="H204" s="336">
        <f t="shared" ca="1" si="39"/>
        <v>2941164.6013000002</v>
      </c>
      <c r="I204" s="337">
        <f t="shared" ca="1" si="36"/>
        <v>-2941165</v>
      </c>
    </row>
    <row r="205" spans="1:9">
      <c r="A205" s="335">
        <f t="shared" si="34"/>
        <v>188</v>
      </c>
      <c r="B205" s="340">
        <f t="shared" si="40"/>
        <v>51987</v>
      </c>
      <c r="C205" s="336">
        <f t="shared" ca="1" si="37"/>
        <v>2941164.6013000002</v>
      </c>
      <c r="D205" s="335"/>
      <c r="E205" s="336">
        <f t="shared" si="45"/>
        <v>0</v>
      </c>
      <c r="F205" s="336">
        <f t="shared" ca="1" si="35"/>
        <v>-12254.852999999999</v>
      </c>
      <c r="G205" s="336">
        <f t="shared" ca="1" si="38"/>
        <v>12254.852999999999</v>
      </c>
      <c r="H205" s="336">
        <f t="shared" ca="1" si="39"/>
        <v>2953419.4542999999</v>
      </c>
      <c r="I205" s="337">
        <f t="shared" ca="1" si="36"/>
        <v>-2953419</v>
      </c>
    </row>
    <row r="206" spans="1:9">
      <c r="A206" s="335">
        <f t="shared" si="34"/>
        <v>189</v>
      </c>
      <c r="B206" s="340">
        <f t="shared" si="40"/>
        <v>52018</v>
      </c>
      <c r="C206" s="336">
        <f t="shared" ca="1" si="37"/>
        <v>2953419.4542999999</v>
      </c>
      <c r="D206" s="335"/>
      <c r="E206" s="336">
        <f t="shared" ca="1" si="45"/>
        <v>461121.25</v>
      </c>
      <c r="F206" s="336">
        <f t="shared" ca="1" si="35"/>
        <v>450736.674</v>
      </c>
      <c r="G206" s="336">
        <f t="shared" ca="1" si="38"/>
        <v>10384.575999999999</v>
      </c>
      <c r="H206" s="336">
        <f t="shared" ca="1" si="39"/>
        <v>2502682.7803000002</v>
      </c>
      <c r="I206" s="337">
        <f t="shared" ca="1" si="36"/>
        <v>-2502683</v>
      </c>
    </row>
    <row r="207" spans="1:9">
      <c r="A207" s="335">
        <f t="shared" si="34"/>
        <v>190</v>
      </c>
      <c r="B207" s="340">
        <f t="shared" si="40"/>
        <v>52048</v>
      </c>
      <c r="C207" s="336">
        <f t="shared" ca="1" si="37"/>
        <v>2502682.7803000002</v>
      </c>
      <c r="D207" s="335"/>
      <c r="E207" s="336">
        <f t="shared" si="45"/>
        <v>0</v>
      </c>
      <c r="F207" s="336">
        <f t="shared" ca="1" si="35"/>
        <v>-10427.844999999999</v>
      </c>
      <c r="G207" s="336">
        <f t="shared" ca="1" si="38"/>
        <v>10427.844999999999</v>
      </c>
      <c r="H207" s="336">
        <f t="shared" ca="1" si="39"/>
        <v>2513110.6253</v>
      </c>
      <c r="I207" s="337">
        <f t="shared" ca="1" si="36"/>
        <v>-2513111</v>
      </c>
    </row>
    <row r="208" spans="1:9">
      <c r="A208" s="335">
        <f t="shared" si="34"/>
        <v>191</v>
      </c>
      <c r="B208" s="340">
        <f t="shared" si="40"/>
        <v>52079</v>
      </c>
      <c r="C208" s="336">
        <f t="shared" ca="1" si="37"/>
        <v>2513110.6253</v>
      </c>
      <c r="D208" s="335"/>
      <c r="E208" s="336">
        <f t="shared" si="45"/>
        <v>0</v>
      </c>
      <c r="F208" s="336">
        <f t="shared" ca="1" si="35"/>
        <v>-10471.294</v>
      </c>
      <c r="G208" s="336">
        <f t="shared" ca="1" si="38"/>
        <v>10471.294</v>
      </c>
      <c r="H208" s="336">
        <f t="shared" ca="1" si="39"/>
        <v>2523581.9193000002</v>
      </c>
      <c r="I208" s="337">
        <f t="shared" ca="1" si="36"/>
        <v>-2523582</v>
      </c>
    </row>
    <row r="209" spans="1:9">
      <c r="A209" s="335">
        <f t="shared" si="34"/>
        <v>192</v>
      </c>
      <c r="B209" s="340">
        <f t="shared" si="40"/>
        <v>52110</v>
      </c>
      <c r="C209" s="336">
        <f t="shared" ca="1" si="37"/>
        <v>2523581.9193000002</v>
      </c>
      <c r="D209" s="336">
        <f ca="1">IF(H209&lt;0,0,0.25*(K33-L33))</f>
        <v>471003.25</v>
      </c>
      <c r="E209" s="336">
        <f t="shared" ca="1" si="45"/>
        <v>461121.25</v>
      </c>
      <c r="F209" s="336">
        <f t="shared" ca="1" si="35"/>
        <v>452527.66399999999</v>
      </c>
      <c r="G209" s="336">
        <f t="shared" ca="1" si="38"/>
        <v>8593.5859999999993</v>
      </c>
      <c r="H209" s="336">
        <f t="shared" ca="1" si="39"/>
        <v>2071054.2553000001</v>
      </c>
      <c r="I209" s="337">
        <f t="shared" ca="1" si="36"/>
        <v>-1600051</v>
      </c>
    </row>
    <row r="210" spans="1:9">
      <c r="A210" s="335">
        <f t="shared" ref="A210:A273" si="46">IF(A209="","",IF(A209=$D$6,"",A209+1))</f>
        <v>193</v>
      </c>
      <c r="B210" s="340">
        <f t="shared" si="40"/>
        <v>52140</v>
      </c>
      <c r="C210" s="336">
        <f t="shared" ca="1" si="37"/>
        <v>2071054.2553000001</v>
      </c>
      <c r="D210" s="336"/>
      <c r="E210" s="336">
        <f t="shared" ref="E210:E221" si="47">IF($D$10=1,
 IF(OR(MONTH(B210)=MONTH(EDATE($D$7,0)),MONTH(B210)=MONTH(EDATE($D$7,3)),MONTH(B210)=MONTH(EDATE($D$7,6)),MONTH(B210)=MONTH(EDATE($D$7,9))),(MIN($D$209,H209)),0),
IF($D$10=0,
 IF(OR(MONTH(B210)=MONTH(EDATE($D$7,2)),MONTH(B210)=MONTH(EDATE($D$7,5)),MONTH(B210)=MONTH(EDATE($D$7,8)),MONTH(B210)=MONTH(EDATE($D$7,11))),(MIN($D$209,H209)),0)))</f>
        <v>0</v>
      </c>
      <c r="F210" s="336">
        <f t="shared" ref="F210:F273" ca="1" si="48">IF(E210="","",E210-G210)</f>
        <v>-8629.393</v>
      </c>
      <c r="G210" s="336">
        <f t="shared" ca="1" si="38"/>
        <v>8629.393</v>
      </c>
      <c r="H210" s="336">
        <f t="shared" ca="1" si="39"/>
        <v>2079683.6483</v>
      </c>
      <c r="I210" s="337">
        <f t="shared" ref="I210:I273" ca="1" si="49">ROUND((D210-H210),0)</f>
        <v>-2079684</v>
      </c>
    </row>
    <row r="211" spans="1:9">
      <c r="A211" s="335">
        <f t="shared" si="46"/>
        <v>194</v>
      </c>
      <c r="B211" s="340">
        <f t="shared" si="40"/>
        <v>52171</v>
      </c>
      <c r="C211" s="336">
        <f t="shared" ref="C211:C274" ca="1" si="50">IF(H210=0,0,H210)</f>
        <v>2079683.6483</v>
      </c>
      <c r="D211" s="335"/>
      <c r="E211" s="336">
        <f t="shared" si="47"/>
        <v>0</v>
      </c>
      <c r="F211" s="336">
        <f t="shared" ca="1" si="48"/>
        <v>-8665.3490000000002</v>
      </c>
      <c r="G211" s="336">
        <f t="shared" ref="G211:G274" ca="1" si="51">ROUND((C211-E211)*$D$5,3)</f>
        <v>8665.3490000000002</v>
      </c>
      <c r="H211" s="336">
        <f t="shared" ref="H211:H274" ca="1" si="52">IF(E211="","",ROUND(H210-F211,4))</f>
        <v>2088348.9972999999</v>
      </c>
      <c r="I211" s="337">
        <f t="shared" ca="1" si="49"/>
        <v>-2088349</v>
      </c>
    </row>
    <row r="212" spans="1:9">
      <c r="A212" s="335">
        <f t="shared" si="46"/>
        <v>195</v>
      </c>
      <c r="B212" s="340">
        <f t="shared" ref="B212:B275" si="53">DATE(YEAR(B211),MONTH(B211)+1,1)</f>
        <v>52201</v>
      </c>
      <c r="C212" s="336">
        <f t="shared" ca="1" si="50"/>
        <v>2088348.9972999999</v>
      </c>
      <c r="D212" s="335"/>
      <c r="E212" s="336">
        <f t="shared" ca="1" si="47"/>
        <v>471003.25</v>
      </c>
      <c r="F212" s="336">
        <f t="shared" ca="1" si="48"/>
        <v>464264.30900000001</v>
      </c>
      <c r="G212" s="336">
        <f t="shared" ca="1" si="51"/>
        <v>6738.9409999999998</v>
      </c>
      <c r="H212" s="336">
        <f t="shared" ca="1" si="52"/>
        <v>1624084.6883</v>
      </c>
      <c r="I212" s="337">
        <f t="shared" ca="1" si="49"/>
        <v>-1624085</v>
      </c>
    </row>
    <row r="213" spans="1:9">
      <c r="A213" s="335">
        <f t="shared" si="46"/>
        <v>196</v>
      </c>
      <c r="B213" s="340">
        <f t="shared" si="53"/>
        <v>52232</v>
      </c>
      <c r="C213" s="336">
        <f t="shared" ca="1" si="50"/>
        <v>1624084.6883</v>
      </c>
      <c r="D213" s="335"/>
      <c r="E213" s="336">
        <f t="shared" si="47"/>
        <v>0</v>
      </c>
      <c r="F213" s="336">
        <f t="shared" ca="1" si="48"/>
        <v>-6767.02</v>
      </c>
      <c r="G213" s="336">
        <f t="shared" ca="1" si="51"/>
        <v>6767.02</v>
      </c>
      <c r="H213" s="336">
        <f t="shared" ca="1" si="52"/>
        <v>1630851.7083000001</v>
      </c>
      <c r="I213" s="337">
        <f t="shared" ca="1" si="49"/>
        <v>-1630852</v>
      </c>
    </row>
    <row r="214" spans="1:9">
      <c r="A214" s="335">
        <f t="shared" si="46"/>
        <v>197</v>
      </c>
      <c r="B214" s="340">
        <f t="shared" si="53"/>
        <v>52263</v>
      </c>
      <c r="C214" s="336">
        <f t="shared" ca="1" si="50"/>
        <v>1630851.7083000001</v>
      </c>
      <c r="D214" s="335"/>
      <c r="E214" s="336">
        <f t="shared" si="47"/>
        <v>0</v>
      </c>
      <c r="F214" s="336">
        <f t="shared" ca="1" si="48"/>
        <v>-6795.2150000000001</v>
      </c>
      <c r="G214" s="336">
        <f t="shared" ca="1" si="51"/>
        <v>6795.2150000000001</v>
      </c>
      <c r="H214" s="336">
        <f t="shared" ca="1" si="52"/>
        <v>1637646.9232999999</v>
      </c>
      <c r="I214" s="337">
        <f t="shared" ca="1" si="49"/>
        <v>-1637647</v>
      </c>
    </row>
    <row r="215" spans="1:9">
      <c r="A215" s="335">
        <f t="shared" si="46"/>
        <v>198</v>
      </c>
      <c r="B215" s="340">
        <f t="shared" si="53"/>
        <v>52291</v>
      </c>
      <c r="C215" s="336">
        <f t="shared" ca="1" si="50"/>
        <v>1637646.9232999999</v>
      </c>
      <c r="D215" s="335"/>
      <c r="E215" s="336">
        <f t="shared" ca="1" si="47"/>
        <v>471003.25</v>
      </c>
      <c r="F215" s="336">
        <f t="shared" ca="1" si="48"/>
        <v>466142.23499999999</v>
      </c>
      <c r="G215" s="336">
        <f t="shared" ca="1" si="51"/>
        <v>4861.0150000000003</v>
      </c>
      <c r="H215" s="336">
        <f t="shared" ca="1" si="52"/>
        <v>1171504.6883</v>
      </c>
      <c r="I215" s="337">
        <f t="shared" ca="1" si="49"/>
        <v>-1171505</v>
      </c>
    </row>
    <row r="216" spans="1:9">
      <c r="A216" s="335">
        <f t="shared" si="46"/>
        <v>199</v>
      </c>
      <c r="B216" s="340">
        <f t="shared" si="53"/>
        <v>52322</v>
      </c>
      <c r="C216" s="336">
        <f t="shared" ca="1" si="50"/>
        <v>1171504.6883</v>
      </c>
      <c r="D216" s="335"/>
      <c r="E216" s="336">
        <f t="shared" si="47"/>
        <v>0</v>
      </c>
      <c r="F216" s="336">
        <f t="shared" ca="1" si="48"/>
        <v>-4881.2700000000004</v>
      </c>
      <c r="G216" s="336">
        <f t="shared" ca="1" si="51"/>
        <v>4881.2700000000004</v>
      </c>
      <c r="H216" s="336">
        <f t="shared" ca="1" si="52"/>
        <v>1176385.9583000001</v>
      </c>
      <c r="I216" s="337">
        <f t="shared" ca="1" si="49"/>
        <v>-1176386</v>
      </c>
    </row>
    <row r="217" spans="1:9">
      <c r="A217" s="335">
        <f t="shared" si="46"/>
        <v>200</v>
      </c>
      <c r="B217" s="340">
        <f t="shared" si="53"/>
        <v>52352</v>
      </c>
      <c r="C217" s="336">
        <f t="shared" ca="1" si="50"/>
        <v>1176385.9583000001</v>
      </c>
      <c r="D217" s="335"/>
      <c r="E217" s="336">
        <f t="shared" si="47"/>
        <v>0</v>
      </c>
      <c r="F217" s="336">
        <f t="shared" ca="1" si="48"/>
        <v>-4901.6080000000002</v>
      </c>
      <c r="G217" s="336">
        <f t="shared" ca="1" si="51"/>
        <v>4901.6080000000002</v>
      </c>
      <c r="H217" s="336">
        <f t="shared" ca="1" si="52"/>
        <v>1181287.5663000001</v>
      </c>
      <c r="I217" s="337">
        <f t="shared" ca="1" si="49"/>
        <v>-1181288</v>
      </c>
    </row>
    <row r="218" spans="1:9">
      <c r="A218" s="335">
        <f t="shared" si="46"/>
        <v>201</v>
      </c>
      <c r="B218" s="340">
        <f t="shared" si="53"/>
        <v>52383</v>
      </c>
      <c r="C218" s="336">
        <f t="shared" ca="1" si="50"/>
        <v>1181287.5663000001</v>
      </c>
      <c r="D218" s="335"/>
      <c r="E218" s="336">
        <f t="shared" ca="1" si="47"/>
        <v>471003.25</v>
      </c>
      <c r="F218" s="336">
        <f t="shared" ca="1" si="48"/>
        <v>468043.73200000002</v>
      </c>
      <c r="G218" s="336">
        <f t="shared" ca="1" si="51"/>
        <v>2959.518</v>
      </c>
      <c r="H218" s="336">
        <f t="shared" ca="1" si="52"/>
        <v>713243.83429999999</v>
      </c>
      <c r="I218" s="337">
        <f t="shared" ca="1" si="49"/>
        <v>-713244</v>
      </c>
    </row>
    <row r="219" spans="1:9">
      <c r="A219" s="335">
        <f t="shared" si="46"/>
        <v>202</v>
      </c>
      <c r="B219" s="340">
        <f t="shared" si="53"/>
        <v>52413</v>
      </c>
      <c r="C219" s="336">
        <f t="shared" ca="1" si="50"/>
        <v>713243.83429999999</v>
      </c>
      <c r="D219" s="335"/>
      <c r="E219" s="336">
        <f t="shared" si="47"/>
        <v>0</v>
      </c>
      <c r="F219" s="336">
        <f t="shared" ca="1" si="48"/>
        <v>-2971.8490000000002</v>
      </c>
      <c r="G219" s="336">
        <f t="shared" ca="1" si="51"/>
        <v>2971.8490000000002</v>
      </c>
      <c r="H219" s="336">
        <f t="shared" ca="1" si="52"/>
        <v>716215.68330000003</v>
      </c>
      <c r="I219" s="337">
        <f t="shared" ca="1" si="49"/>
        <v>-716216</v>
      </c>
    </row>
    <row r="220" spans="1:9">
      <c r="A220" s="335">
        <f t="shared" si="46"/>
        <v>203</v>
      </c>
      <c r="B220" s="340">
        <f t="shared" si="53"/>
        <v>52444</v>
      </c>
      <c r="C220" s="336">
        <f t="shared" ca="1" si="50"/>
        <v>716215.68330000003</v>
      </c>
      <c r="D220" s="335"/>
      <c r="E220" s="336">
        <f t="shared" si="47"/>
        <v>0</v>
      </c>
      <c r="F220" s="336">
        <f t="shared" ca="1" si="48"/>
        <v>-2984.232</v>
      </c>
      <c r="G220" s="336">
        <f t="shared" ca="1" si="51"/>
        <v>2984.232</v>
      </c>
      <c r="H220" s="336">
        <f t="shared" ca="1" si="52"/>
        <v>719199.91529999999</v>
      </c>
      <c r="I220" s="337">
        <f t="shared" ca="1" si="49"/>
        <v>-719200</v>
      </c>
    </row>
    <row r="221" spans="1:9">
      <c r="A221" s="335">
        <f t="shared" si="46"/>
        <v>204</v>
      </c>
      <c r="B221" s="340">
        <f t="shared" si="53"/>
        <v>52475</v>
      </c>
      <c r="C221" s="336">
        <f t="shared" ca="1" si="50"/>
        <v>719199.91529999999</v>
      </c>
      <c r="D221" s="336">
        <f ca="1">IF(H221&lt;0,0,0.25*(K34-L34))</f>
        <v>481152.25</v>
      </c>
      <c r="E221" s="336">
        <f t="shared" ca="1" si="47"/>
        <v>471003.25</v>
      </c>
      <c r="F221" s="336">
        <f t="shared" ca="1" si="48"/>
        <v>469969.09700000001</v>
      </c>
      <c r="G221" s="336">
        <f t="shared" ca="1" si="51"/>
        <v>1034.153</v>
      </c>
      <c r="H221" s="336">
        <f t="shared" ca="1" si="52"/>
        <v>249230.81830000001</v>
      </c>
      <c r="I221" s="337">
        <f t="shared" ca="1" si="49"/>
        <v>231921</v>
      </c>
    </row>
    <row r="222" spans="1:9">
      <c r="A222" s="335">
        <f t="shared" si="46"/>
        <v>205</v>
      </c>
      <c r="B222" s="340">
        <f t="shared" si="53"/>
        <v>52505</v>
      </c>
      <c r="C222" s="336">
        <f t="shared" ca="1" si="50"/>
        <v>249230.81830000001</v>
      </c>
      <c r="D222" s="336"/>
      <c r="E222" s="336">
        <f t="shared" ref="E222:E233" si="54">IF($D$10=1,
 IF(OR(MONTH(B222)=MONTH(EDATE($D$7,0)),MONTH(B222)=MONTH(EDATE($D$7,3)),MONTH(B222)=MONTH(EDATE($D$7,6)),MONTH(B222)=MONTH(EDATE($D$7,9))),(MIN($D$221,H221)),0),
IF($D$10=0,
 IF(OR(MONTH(B222)=MONTH(EDATE($D$7,2)),MONTH(B222)=MONTH(EDATE($D$7,5)),MONTH(B222)=MONTH(EDATE($D$7,8)),MONTH(B222)=MONTH(EDATE($D$7,11))),(MIN($D$221,H221)),0)))</f>
        <v>0</v>
      </c>
      <c r="F222" s="336">
        <f t="shared" ca="1" si="48"/>
        <v>-1038.462</v>
      </c>
      <c r="G222" s="336">
        <f t="shared" ca="1" si="51"/>
        <v>1038.462</v>
      </c>
      <c r="H222" s="336">
        <f t="shared" ca="1" si="52"/>
        <v>250269.28030000001</v>
      </c>
      <c r="I222" s="337">
        <f t="shared" ca="1" si="49"/>
        <v>-250269</v>
      </c>
    </row>
    <row r="223" spans="1:9">
      <c r="A223" s="335">
        <f t="shared" si="46"/>
        <v>206</v>
      </c>
      <c r="B223" s="340">
        <f t="shared" si="53"/>
        <v>52536</v>
      </c>
      <c r="C223" s="336">
        <f t="shared" ca="1" si="50"/>
        <v>250269.28030000001</v>
      </c>
      <c r="D223" s="335"/>
      <c r="E223" s="336">
        <f t="shared" si="54"/>
        <v>0</v>
      </c>
      <c r="F223" s="336">
        <f t="shared" ca="1" si="48"/>
        <v>-1042.789</v>
      </c>
      <c r="G223" s="336">
        <f t="shared" ca="1" si="51"/>
        <v>1042.789</v>
      </c>
      <c r="H223" s="336">
        <f t="shared" ca="1" si="52"/>
        <v>251312.0693</v>
      </c>
      <c r="I223" s="337">
        <f t="shared" ca="1" si="49"/>
        <v>-251312</v>
      </c>
    </row>
    <row r="224" spans="1:9">
      <c r="A224" s="335">
        <f t="shared" si="46"/>
        <v>207</v>
      </c>
      <c r="B224" s="340">
        <f t="shared" si="53"/>
        <v>52566</v>
      </c>
      <c r="C224" s="336">
        <f t="shared" ca="1" si="50"/>
        <v>251312.0693</v>
      </c>
      <c r="D224" s="335"/>
      <c r="E224" s="336">
        <f t="shared" ca="1" si="54"/>
        <v>251312.0693</v>
      </c>
      <c r="F224" s="336">
        <f t="shared" ca="1" si="48"/>
        <v>251312.0693</v>
      </c>
      <c r="G224" s="336">
        <f t="shared" ca="1" si="51"/>
        <v>0</v>
      </c>
      <c r="H224" s="336">
        <f t="shared" ca="1" si="52"/>
        <v>0</v>
      </c>
      <c r="I224" s="337">
        <f t="shared" ca="1" si="49"/>
        <v>0</v>
      </c>
    </row>
    <row r="225" spans="1:9">
      <c r="A225" s="335">
        <f t="shared" si="46"/>
        <v>208</v>
      </c>
      <c r="B225" s="340">
        <f t="shared" si="53"/>
        <v>52597</v>
      </c>
      <c r="C225" s="336">
        <f t="shared" ca="1" si="50"/>
        <v>0</v>
      </c>
      <c r="D225" s="335"/>
      <c r="E225" s="336">
        <f t="shared" si="54"/>
        <v>0</v>
      </c>
      <c r="F225" s="336">
        <f t="shared" ca="1" si="48"/>
        <v>0</v>
      </c>
      <c r="G225" s="336">
        <f t="shared" ca="1" si="51"/>
        <v>0</v>
      </c>
      <c r="H225" s="336">
        <f t="shared" ca="1" si="52"/>
        <v>0</v>
      </c>
      <c r="I225" s="337">
        <f t="shared" ca="1" si="49"/>
        <v>0</v>
      </c>
    </row>
    <row r="226" spans="1:9">
      <c r="A226" s="335">
        <f t="shared" si="46"/>
        <v>209</v>
      </c>
      <c r="B226" s="340">
        <f t="shared" si="53"/>
        <v>52628</v>
      </c>
      <c r="C226" s="336">
        <f t="shared" ca="1" si="50"/>
        <v>0</v>
      </c>
      <c r="D226" s="335"/>
      <c r="E226" s="336">
        <f t="shared" si="54"/>
        <v>0</v>
      </c>
      <c r="F226" s="336">
        <f t="shared" ca="1" si="48"/>
        <v>0</v>
      </c>
      <c r="G226" s="336">
        <f t="shared" ca="1" si="51"/>
        <v>0</v>
      </c>
      <c r="H226" s="336">
        <f t="shared" ca="1" si="52"/>
        <v>0</v>
      </c>
      <c r="I226" s="337">
        <f t="shared" ca="1" si="49"/>
        <v>0</v>
      </c>
    </row>
    <row r="227" spans="1:9">
      <c r="A227" s="335">
        <f t="shared" si="46"/>
        <v>210</v>
      </c>
      <c r="B227" s="340">
        <f t="shared" si="53"/>
        <v>52657</v>
      </c>
      <c r="C227" s="336">
        <f t="shared" ca="1" si="50"/>
        <v>0</v>
      </c>
      <c r="D227" s="335"/>
      <c r="E227" s="336">
        <f t="shared" ca="1" si="54"/>
        <v>0</v>
      </c>
      <c r="F227" s="336">
        <f t="shared" ca="1" si="48"/>
        <v>0</v>
      </c>
      <c r="G227" s="336">
        <f t="shared" ca="1" si="51"/>
        <v>0</v>
      </c>
      <c r="H227" s="336">
        <f t="shared" ca="1" si="52"/>
        <v>0</v>
      </c>
      <c r="I227" s="337">
        <f t="shared" ca="1" si="49"/>
        <v>0</v>
      </c>
    </row>
    <row r="228" spans="1:9">
      <c r="A228" s="335">
        <f t="shared" si="46"/>
        <v>211</v>
      </c>
      <c r="B228" s="340">
        <f t="shared" si="53"/>
        <v>52688</v>
      </c>
      <c r="C228" s="336">
        <f t="shared" ca="1" si="50"/>
        <v>0</v>
      </c>
      <c r="D228" s="335"/>
      <c r="E228" s="336">
        <f t="shared" si="54"/>
        <v>0</v>
      </c>
      <c r="F228" s="336">
        <f t="shared" ca="1" si="48"/>
        <v>0</v>
      </c>
      <c r="G228" s="336">
        <f t="shared" ca="1" si="51"/>
        <v>0</v>
      </c>
      <c r="H228" s="336">
        <f t="shared" ca="1" si="52"/>
        <v>0</v>
      </c>
      <c r="I228" s="337">
        <f t="shared" ca="1" si="49"/>
        <v>0</v>
      </c>
    </row>
    <row r="229" spans="1:9">
      <c r="A229" s="335">
        <f t="shared" si="46"/>
        <v>212</v>
      </c>
      <c r="B229" s="340">
        <f t="shared" si="53"/>
        <v>52718</v>
      </c>
      <c r="C229" s="336">
        <f t="shared" ca="1" si="50"/>
        <v>0</v>
      </c>
      <c r="D229" s="335"/>
      <c r="E229" s="336">
        <f t="shared" si="54"/>
        <v>0</v>
      </c>
      <c r="F229" s="336">
        <f t="shared" ca="1" si="48"/>
        <v>0</v>
      </c>
      <c r="G229" s="336">
        <f t="shared" ca="1" si="51"/>
        <v>0</v>
      </c>
      <c r="H229" s="336">
        <f t="shared" ca="1" si="52"/>
        <v>0</v>
      </c>
      <c r="I229" s="337">
        <f t="shared" ca="1" si="49"/>
        <v>0</v>
      </c>
    </row>
    <row r="230" spans="1:9">
      <c r="A230" s="335">
        <f t="shared" si="46"/>
        <v>213</v>
      </c>
      <c r="B230" s="340">
        <f t="shared" si="53"/>
        <v>52749</v>
      </c>
      <c r="C230" s="336">
        <f t="shared" ca="1" si="50"/>
        <v>0</v>
      </c>
      <c r="D230" s="335"/>
      <c r="E230" s="336">
        <f t="shared" ca="1" si="54"/>
        <v>0</v>
      </c>
      <c r="F230" s="336">
        <f t="shared" ca="1" si="48"/>
        <v>0</v>
      </c>
      <c r="G230" s="336">
        <f t="shared" ca="1" si="51"/>
        <v>0</v>
      </c>
      <c r="H230" s="336">
        <f t="shared" ca="1" si="52"/>
        <v>0</v>
      </c>
      <c r="I230" s="337">
        <f t="shared" ca="1" si="49"/>
        <v>0</v>
      </c>
    </row>
    <row r="231" spans="1:9">
      <c r="A231" s="335">
        <f t="shared" si="46"/>
        <v>214</v>
      </c>
      <c r="B231" s="340">
        <f t="shared" si="53"/>
        <v>52779</v>
      </c>
      <c r="C231" s="336">
        <f t="shared" ca="1" si="50"/>
        <v>0</v>
      </c>
      <c r="D231" s="335"/>
      <c r="E231" s="336">
        <f t="shared" si="54"/>
        <v>0</v>
      </c>
      <c r="F231" s="336">
        <f t="shared" ca="1" si="48"/>
        <v>0</v>
      </c>
      <c r="G231" s="336">
        <f t="shared" ca="1" si="51"/>
        <v>0</v>
      </c>
      <c r="H231" s="336">
        <f t="shared" ca="1" si="52"/>
        <v>0</v>
      </c>
      <c r="I231" s="337">
        <f t="shared" ca="1" si="49"/>
        <v>0</v>
      </c>
    </row>
    <row r="232" spans="1:9">
      <c r="A232" s="335">
        <f t="shared" si="46"/>
        <v>215</v>
      </c>
      <c r="B232" s="340">
        <f t="shared" si="53"/>
        <v>52810</v>
      </c>
      <c r="C232" s="336">
        <f t="shared" ca="1" si="50"/>
        <v>0</v>
      </c>
      <c r="D232" s="335"/>
      <c r="E232" s="336">
        <f t="shared" si="54"/>
        <v>0</v>
      </c>
      <c r="F232" s="336">
        <f t="shared" ca="1" si="48"/>
        <v>0</v>
      </c>
      <c r="G232" s="336">
        <f t="shared" ca="1" si="51"/>
        <v>0</v>
      </c>
      <c r="H232" s="336">
        <f t="shared" ca="1" si="52"/>
        <v>0</v>
      </c>
      <c r="I232" s="337">
        <f t="shared" ca="1" si="49"/>
        <v>0</v>
      </c>
    </row>
    <row r="233" spans="1:9">
      <c r="A233" s="335">
        <f t="shared" si="46"/>
        <v>216</v>
      </c>
      <c r="B233" s="340">
        <f t="shared" si="53"/>
        <v>52841</v>
      </c>
      <c r="C233" s="336">
        <f t="shared" ca="1" si="50"/>
        <v>0</v>
      </c>
      <c r="D233" s="336">
        <f ca="1">IF(H233&lt;0,0,0.25*(K35-L35))</f>
        <v>491576.75</v>
      </c>
      <c r="E233" s="336">
        <f t="shared" ca="1" si="54"/>
        <v>0</v>
      </c>
      <c r="F233" s="336">
        <f t="shared" ca="1" si="48"/>
        <v>0</v>
      </c>
      <c r="G233" s="336">
        <f t="shared" ca="1" si="51"/>
        <v>0</v>
      </c>
      <c r="H233" s="336">
        <f t="shared" ca="1" si="52"/>
        <v>0</v>
      </c>
      <c r="I233" s="337">
        <f t="shared" ca="1" si="49"/>
        <v>491577</v>
      </c>
    </row>
    <row r="234" spans="1:9">
      <c r="A234" s="335">
        <f t="shared" si="46"/>
        <v>217</v>
      </c>
      <c r="B234" s="340">
        <f t="shared" si="53"/>
        <v>52871</v>
      </c>
      <c r="C234" s="336">
        <f t="shared" ca="1" si="50"/>
        <v>0</v>
      </c>
      <c r="D234" s="336"/>
      <c r="E234" s="336">
        <f t="shared" ref="E234:E245" si="55">IF($D$10=1,
 IF(OR(MONTH(B234)=MONTH(EDATE($D$7,0)),MONTH(B234)=MONTH(EDATE($D$7,3)),MONTH(B234)=MONTH(EDATE($D$7,6)),MONTH(B234)=MONTH(EDATE($D$7,9))),(MIN($D$233,H233)),0),
IF($D$10=0,
 IF(OR(MONTH(B234)=MONTH(EDATE($D$7,2)),MONTH(B234)=MONTH(EDATE($D$7,5)),MONTH(B234)=MONTH(EDATE($D$7,8)),MONTH(B234)=MONTH(EDATE($D$7,11))),(MIN($D$233,H233)),0)))</f>
        <v>0</v>
      </c>
      <c r="F234" s="336">
        <f t="shared" ca="1" si="48"/>
        <v>0</v>
      </c>
      <c r="G234" s="336">
        <f t="shared" ca="1" si="51"/>
        <v>0</v>
      </c>
      <c r="H234" s="336">
        <f t="shared" ca="1" si="52"/>
        <v>0</v>
      </c>
      <c r="I234" s="337">
        <f t="shared" ca="1" si="49"/>
        <v>0</v>
      </c>
    </row>
    <row r="235" spans="1:9">
      <c r="A235" s="335">
        <f t="shared" si="46"/>
        <v>218</v>
      </c>
      <c r="B235" s="340">
        <f t="shared" si="53"/>
        <v>52902</v>
      </c>
      <c r="C235" s="336">
        <f t="shared" ca="1" si="50"/>
        <v>0</v>
      </c>
      <c r="D235" s="335"/>
      <c r="E235" s="336">
        <f t="shared" si="55"/>
        <v>0</v>
      </c>
      <c r="F235" s="336">
        <f t="shared" ca="1" si="48"/>
        <v>0</v>
      </c>
      <c r="G235" s="336">
        <f t="shared" ca="1" si="51"/>
        <v>0</v>
      </c>
      <c r="H235" s="336">
        <f t="shared" ca="1" si="52"/>
        <v>0</v>
      </c>
      <c r="I235" s="337">
        <f t="shared" ca="1" si="49"/>
        <v>0</v>
      </c>
    </row>
    <row r="236" spans="1:9">
      <c r="A236" s="335">
        <f t="shared" si="46"/>
        <v>219</v>
      </c>
      <c r="B236" s="340">
        <f t="shared" si="53"/>
        <v>52932</v>
      </c>
      <c r="C236" s="336">
        <f t="shared" ca="1" si="50"/>
        <v>0</v>
      </c>
      <c r="D236" s="335"/>
      <c r="E236" s="336">
        <f t="shared" ca="1" si="55"/>
        <v>0</v>
      </c>
      <c r="F236" s="336">
        <f t="shared" ca="1" si="48"/>
        <v>0</v>
      </c>
      <c r="G236" s="336">
        <f t="shared" ca="1" si="51"/>
        <v>0</v>
      </c>
      <c r="H236" s="336">
        <f t="shared" ca="1" si="52"/>
        <v>0</v>
      </c>
      <c r="I236" s="337">
        <f t="shared" ca="1" si="49"/>
        <v>0</v>
      </c>
    </row>
    <row r="237" spans="1:9">
      <c r="A237" s="335">
        <f t="shared" si="46"/>
        <v>220</v>
      </c>
      <c r="B237" s="340">
        <f t="shared" si="53"/>
        <v>52963</v>
      </c>
      <c r="C237" s="336">
        <f t="shared" ca="1" si="50"/>
        <v>0</v>
      </c>
      <c r="D237" s="335"/>
      <c r="E237" s="336">
        <f t="shared" si="55"/>
        <v>0</v>
      </c>
      <c r="F237" s="336">
        <f t="shared" ca="1" si="48"/>
        <v>0</v>
      </c>
      <c r="G237" s="336">
        <f t="shared" ca="1" si="51"/>
        <v>0</v>
      </c>
      <c r="H237" s="336">
        <f t="shared" ca="1" si="52"/>
        <v>0</v>
      </c>
      <c r="I237" s="337">
        <f t="shared" ca="1" si="49"/>
        <v>0</v>
      </c>
    </row>
    <row r="238" spans="1:9">
      <c r="A238" s="335">
        <f t="shared" si="46"/>
        <v>221</v>
      </c>
      <c r="B238" s="340">
        <f t="shared" si="53"/>
        <v>52994</v>
      </c>
      <c r="C238" s="336">
        <f t="shared" ca="1" si="50"/>
        <v>0</v>
      </c>
      <c r="D238" s="335"/>
      <c r="E238" s="336">
        <f t="shared" si="55"/>
        <v>0</v>
      </c>
      <c r="F238" s="336">
        <f t="shared" ca="1" si="48"/>
        <v>0</v>
      </c>
      <c r="G238" s="336">
        <f t="shared" ca="1" si="51"/>
        <v>0</v>
      </c>
      <c r="H238" s="336">
        <f t="shared" ca="1" si="52"/>
        <v>0</v>
      </c>
      <c r="I238" s="337">
        <f t="shared" ca="1" si="49"/>
        <v>0</v>
      </c>
    </row>
    <row r="239" spans="1:9">
      <c r="A239" s="335">
        <f t="shared" si="46"/>
        <v>222</v>
      </c>
      <c r="B239" s="340">
        <f t="shared" si="53"/>
        <v>53022</v>
      </c>
      <c r="C239" s="336">
        <f t="shared" ca="1" si="50"/>
        <v>0</v>
      </c>
      <c r="D239" s="335"/>
      <c r="E239" s="336">
        <f t="shared" ca="1" si="55"/>
        <v>0</v>
      </c>
      <c r="F239" s="336">
        <f t="shared" ca="1" si="48"/>
        <v>0</v>
      </c>
      <c r="G239" s="336">
        <f t="shared" ca="1" si="51"/>
        <v>0</v>
      </c>
      <c r="H239" s="336">
        <f t="shared" ca="1" si="52"/>
        <v>0</v>
      </c>
      <c r="I239" s="337">
        <f t="shared" ca="1" si="49"/>
        <v>0</v>
      </c>
    </row>
    <row r="240" spans="1:9">
      <c r="A240" s="335">
        <f t="shared" si="46"/>
        <v>223</v>
      </c>
      <c r="B240" s="340">
        <f t="shared" si="53"/>
        <v>53053</v>
      </c>
      <c r="C240" s="336">
        <f t="shared" ca="1" si="50"/>
        <v>0</v>
      </c>
      <c r="D240" s="335"/>
      <c r="E240" s="336">
        <f t="shared" si="55"/>
        <v>0</v>
      </c>
      <c r="F240" s="336">
        <f t="shared" ca="1" si="48"/>
        <v>0</v>
      </c>
      <c r="G240" s="336">
        <f t="shared" ca="1" si="51"/>
        <v>0</v>
      </c>
      <c r="H240" s="336">
        <f t="shared" ca="1" si="52"/>
        <v>0</v>
      </c>
      <c r="I240" s="337">
        <f t="shared" ca="1" si="49"/>
        <v>0</v>
      </c>
    </row>
    <row r="241" spans="1:9">
      <c r="A241" s="335">
        <f t="shared" si="46"/>
        <v>224</v>
      </c>
      <c r="B241" s="340">
        <f t="shared" si="53"/>
        <v>53083</v>
      </c>
      <c r="C241" s="336">
        <f t="shared" ca="1" si="50"/>
        <v>0</v>
      </c>
      <c r="D241" s="335"/>
      <c r="E241" s="336">
        <f t="shared" si="55"/>
        <v>0</v>
      </c>
      <c r="F241" s="336">
        <f t="shared" ca="1" si="48"/>
        <v>0</v>
      </c>
      <c r="G241" s="336">
        <f t="shared" ca="1" si="51"/>
        <v>0</v>
      </c>
      <c r="H241" s="336">
        <f t="shared" ca="1" si="52"/>
        <v>0</v>
      </c>
      <c r="I241" s="337">
        <f t="shared" ca="1" si="49"/>
        <v>0</v>
      </c>
    </row>
    <row r="242" spans="1:9">
      <c r="A242" s="335">
        <f t="shared" si="46"/>
        <v>225</v>
      </c>
      <c r="B242" s="340">
        <f t="shared" si="53"/>
        <v>53114</v>
      </c>
      <c r="C242" s="336">
        <f t="shared" ca="1" si="50"/>
        <v>0</v>
      </c>
      <c r="D242" s="335"/>
      <c r="E242" s="336">
        <f t="shared" ca="1" si="55"/>
        <v>0</v>
      </c>
      <c r="F242" s="336">
        <f t="shared" ca="1" si="48"/>
        <v>0</v>
      </c>
      <c r="G242" s="336">
        <f t="shared" ca="1" si="51"/>
        <v>0</v>
      </c>
      <c r="H242" s="336">
        <f t="shared" ca="1" si="52"/>
        <v>0</v>
      </c>
      <c r="I242" s="337">
        <f t="shared" ca="1" si="49"/>
        <v>0</v>
      </c>
    </row>
    <row r="243" spans="1:9">
      <c r="A243" s="335">
        <f t="shared" si="46"/>
        <v>226</v>
      </c>
      <c r="B243" s="340">
        <f t="shared" si="53"/>
        <v>53144</v>
      </c>
      <c r="C243" s="336">
        <f t="shared" ca="1" si="50"/>
        <v>0</v>
      </c>
      <c r="D243" s="335"/>
      <c r="E243" s="336">
        <f t="shared" si="55"/>
        <v>0</v>
      </c>
      <c r="F243" s="336">
        <f t="shared" ca="1" si="48"/>
        <v>0</v>
      </c>
      <c r="G243" s="336">
        <f t="shared" ca="1" si="51"/>
        <v>0</v>
      </c>
      <c r="H243" s="336">
        <f t="shared" ca="1" si="52"/>
        <v>0</v>
      </c>
      <c r="I243" s="337">
        <f t="shared" ca="1" si="49"/>
        <v>0</v>
      </c>
    </row>
    <row r="244" spans="1:9">
      <c r="A244" s="335">
        <f t="shared" si="46"/>
        <v>227</v>
      </c>
      <c r="B244" s="340">
        <f t="shared" si="53"/>
        <v>53175</v>
      </c>
      <c r="C244" s="336">
        <f t="shared" ca="1" si="50"/>
        <v>0</v>
      </c>
      <c r="D244" s="335"/>
      <c r="E244" s="336">
        <f t="shared" si="55"/>
        <v>0</v>
      </c>
      <c r="F244" s="336">
        <f t="shared" ca="1" si="48"/>
        <v>0</v>
      </c>
      <c r="G244" s="336">
        <f t="shared" ca="1" si="51"/>
        <v>0</v>
      </c>
      <c r="H244" s="336">
        <f t="shared" ca="1" si="52"/>
        <v>0</v>
      </c>
      <c r="I244" s="337">
        <f t="shared" ca="1" si="49"/>
        <v>0</v>
      </c>
    </row>
    <row r="245" spans="1:9">
      <c r="A245" s="335">
        <f t="shared" si="46"/>
        <v>228</v>
      </c>
      <c r="B245" s="340">
        <f t="shared" si="53"/>
        <v>53206</v>
      </c>
      <c r="C245" s="336">
        <f t="shared" ca="1" si="50"/>
        <v>0</v>
      </c>
      <c r="D245" s="336">
        <f ca="1">IF(H245&lt;0,0,0.25*(K36-L36))</f>
        <v>502285.5</v>
      </c>
      <c r="E245" s="336">
        <f t="shared" ca="1" si="55"/>
        <v>0</v>
      </c>
      <c r="F245" s="336">
        <f t="shared" ca="1" si="48"/>
        <v>0</v>
      </c>
      <c r="G245" s="336">
        <f t="shared" ca="1" si="51"/>
        <v>0</v>
      </c>
      <c r="H245" s="336">
        <f t="shared" ca="1" si="52"/>
        <v>0</v>
      </c>
      <c r="I245" s="337">
        <f t="shared" ca="1" si="49"/>
        <v>502286</v>
      </c>
    </row>
    <row r="246" spans="1:9">
      <c r="A246" s="335">
        <f t="shared" si="46"/>
        <v>229</v>
      </c>
      <c r="B246" s="340">
        <f t="shared" si="53"/>
        <v>53236</v>
      </c>
      <c r="C246" s="336">
        <f t="shared" ca="1" si="50"/>
        <v>0</v>
      </c>
      <c r="D246" s="336"/>
      <c r="E246" s="336">
        <f t="shared" ref="E246:E257" si="56">IF($D$10=1,
 IF(OR(MONTH(B246)=MONTH(EDATE($D$7,0)),MONTH(B246)=MONTH(EDATE($D$7,3)),MONTH(B246)=MONTH(EDATE($D$7,6)),MONTH(B246)=MONTH(EDATE($D$7,9))),(MIN($D$245,H245)),0),
IF($D$10=0,
 IF(OR(MONTH(B246)=MONTH(EDATE($D$7,2)),MONTH(B246)=MONTH(EDATE($D$7,5)),MONTH(B246)=MONTH(EDATE($D$7,8)),MONTH(B246)=MONTH(EDATE($D$7,11))),(MIN($D$245,H245)),0)))</f>
        <v>0</v>
      </c>
      <c r="F246" s="336">
        <f t="shared" ca="1" si="48"/>
        <v>0</v>
      </c>
      <c r="G246" s="336">
        <f t="shared" ca="1" si="51"/>
        <v>0</v>
      </c>
      <c r="H246" s="336">
        <f t="shared" ca="1" si="52"/>
        <v>0</v>
      </c>
      <c r="I246" s="337">
        <f t="shared" ca="1" si="49"/>
        <v>0</v>
      </c>
    </row>
    <row r="247" spans="1:9">
      <c r="A247" s="335">
        <f t="shared" si="46"/>
        <v>230</v>
      </c>
      <c r="B247" s="340">
        <f t="shared" si="53"/>
        <v>53267</v>
      </c>
      <c r="C247" s="336">
        <f t="shared" ca="1" si="50"/>
        <v>0</v>
      </c>
      <c r="D247" s="335"/>
      <c r="E247" s="336">
        <f t="shared" si="56"/>
        <v>0</v>
      </c>
      <c r="F247" s="336">
        <f t="shared" ca="1" si="48"/>
        <v>0</v>
      </c>
      <c r="G247" s="336">
        <f t="shared" ca="1" si="51"/>
        <v>0</v>
      </c>
      <c r="H247" s="336">
        <f t="shared" ca="1" si="52"/>
        <v>0</v>
      </c>
      <c r="I247" s="337">
        <f t="shared" ca="1" si="49"/>
        <v>0</v>
      </c>
    </row>
    <row r="248" spans="1:9">
      <c r="A248" s="335">
        <f t="shared" si="46"/>
        <v>231</v>
      </c>
      <c r="B248" s="340">
        <f t="shared" si="53"/>
        <v>53297</v>
      </c>
      <c r="C248" s="336">
        <f t="shared" ca="1" si="50"/>
        <v>0</v>
      </c>
      <c r="D248" s="335"/>
      <c r="E248" s="336">
        <f t="shared" ca="1" si="56"/>
        <v>0</v>
      </c>
      <c r="F248" s="336">
        <f t="shared" ca="1" si="48"/>
        <v>0</v>
      </c>
      <c r="G248" s="336">
        <f t="shared" ca="1" si="51"/>
        <v>0</v>
      </c>
      <c r="H248" s="336">
        <f t="shared" ca="1" si="52"/>
        <v>0</v>
      </c>
      <c r="I248" s="337">
        <f t="shared" ca="1" si="49"/>
        <v>0</v>
      </c>
    </row>
    <row r="249" spans="1:9">
      <c r="A249" s="335">
        <f t="shared" si="46"/>
        <v>232</v>
      </c>
      <c r="B249" s="340">
        <f t="shared" si="53"/>
        <v>53328</v>
      </c>
      <c r="C249" s="336">
        <f t="shared" ca="1" si="50"/>
        <v>0</v>
      </c>
      <c r="D249" s="335"/>
      <c r="E249" s="336">
        <f t="shared" si="56"/>
        <v>0</v>
      </c>
      <c r="F249" s="336">
        <f t="shared" ca="1" si="48"/>
        <v>0</v>
      </c>
      <c r="G249" s="336">
        <f t="shared" ca="1" si="51"/>
        <v>0</v>
      </c>
      <c r="H249" s="336">
        <f t="shared" ca="1" si="52"/>
        <v>0</v>
      </c>
      <c r="I249" s="337">
        <f t="shared" ca="1" si="49"/>
        <v>0</v>
      </c>
    </row>
    <row r="250" spans="1:9">
      <c r="A250" s="335">
        <f t="shared" si="46"/>
        <v>233</v>
      </c>
      <c r="B250" s="340">
        <f t="shared" si="53"/>
        <v>53359</v>
      </c>
      <c r="C250" s="336">
        <f t="shared" ca="1" si="50"/>
        <v>0</v>
      </c>
      <c r="D250" s="335"/>
      <c r="E250" s="336">
        <f t="shared" si="56"/>
        <v>0</v>
      </c>
      <c r="F250" s="336">
        <f t="shared" ca="1" si="48"/>
        <v>0</v>
      </c>
      <c r="G250" s="336">
        <f t="shared" ca="1" si="51"/>
        <v>0</v>
      </c>
      <c r="H250" s="336">
        <f t="shared" ca="1" si="52"/>
        <v>0</v>
      </c>
      <c r="I250" s="337">
        <f t="shared" ca="1" si="49"/>
        <v>0</v>
      </c>
    </row>
    <row r="251" spans="1:9">
      <c r="A251" s="335">
        <f t="shared" si="46"/>
        <v>234</v>
      </c>
      <c r="B251" s="340">
        <f t="shared" si="53"/>
        <v>53387</v>
      </c>
      <c r="C251" s="336">
        <f t="shared" ca="1" si="50"/>
        <v>0</v>
      </c>
      <c r="D251" s="335"/>
      <c r="E251" s="336">
        <f t="shared" ca="1" si="56"/>
        <v>0</v>
      </c>
      <c r="F251" s="336">
        <f t="shared" ca="1" si="48"/>
        <v>0</v>
      </c>
      <c r="G251" s="336">
        <f t="shared" ca="1" si="51"/>
        <v>0</v>
      </c>
      <c r="H251" s="336">
        <f t="shared" ca="1" si="52"/>
        <v>0</v>
      </c>
      <c r="I251" s="337">
        <f t="shared" ca="1" si="49"/>
        <v>0</v>
      </c>
    </row>
    <row r="252" spans="1:9">
      <c r="A252" s="335">
        <f t="shared" si="46"/>
        <v>235</v>
      </c>
      <c r="B252" s="340">
        <f t="shared" si="53"/>
        <v>53418</v>
      </c>
      <c r="C252" s="336">
        <f t="shared" ca="1" si="50"/>
        <v>0</v>
      </c>
      <c r="D252" s="335"/>
      <c r="E252" s="336">
        <f t="shared" si="56"/>
        <v>0</v>
      </c>
      <c r="F252" s="336">
        <f t="shared" ca="1" si="48"/>
        <v>0</v>
      </c>
      <c r="G252" s="336">
        <f t="shared" ca="1" si="51"/>
        <v>0</v>
      </c>
      <c r="H252" s="336">
        <f t="shared" ca="1" si="52"/>
        <v>0</v>
      </c>
      <c r="I252" s="337">
        <f t="shared" ca="1" si="49"/>
        <v>0</v>
      </c>
    </row>
    <row r="253" spans="1:9">
      <c r="A253" s="335">
        <f t="shared" si="46"/>
        <v>236</v>
      </c>
      <c r="B253" s="340">
        <f t="shared" si="53"/>
        <v>53448</v>
      </c>
      <c r="C253" s="336">
        <f t="shared" ca="1" si="50"/>
        <v>0</v>
      </c>
      <c r="D253" s="335"/>
      <c r="E253" s="336">
        <f t="shared" si="56"/>
        <v>0</v>
      </c>
      <c r="F253" s="336">
        <f t="shared" ca="1" si="48"/>
        <v>0</v>
      </c>
      <c r="G253" s="336">
        <f t="shared" ca="1" si="51"/>
        <v>0</v>
      </c>
      <c r="H253" s="336">
        <f t="shared" ca="1" si="52"/>
        <v>0</v>
      </c>
      <c r="I253" s="337">
        <f t="shared" ca="1" si="49"/>
        <v>0</v>
      </c>
    </row>
    <row r="254" spans="1:9">
      <c r="A254" s="335">
        <f t="shared" si="46"/>
        <v>237</v>
      </c>
      <c r="B254" s="340">
        <f t="shared" si="53"/>
        <v>53479</v>
      </c>
      <c r="C254" s="336">
        <f t="shared" ca="1" si="50"/>
        <v>0</v>
      </c>
      <c r="D254" s="335"/>
      <c r="E254" s="336">
        <f t="shared" ca="1" si="56"/>
        <v>0</v>
      </c>
      <c r="F254" s="336">
        <f t="shared" ca="1" si="48"/>
        <v>0</v>
      </c>
      <c r="G254" s="336">
        <f t="shared" ca="1" si="51"/>
        <v>0</v>
      </c>
      <c r="H254" s="336">
        <f t="shared" ca="1" si="52"/>
        <v>0</v>
      </c>
      <c r="I254" s="337">
        <f t="shared" ca="1" si="49"/>
        <v>0</v>
      </c>
    </row>
    <row r="255" spans="1:9">
      <c r="A255" s="335">
        <f t="shared" si="46"/>
        <v>238</v>
      </c>
      <c r="B255" s="340">
        <f t="shared" si="53"/>
        <v>53509</v>
      </c>
      <c r="C255" s="336">
        <f t="shared" ca="1" si="50"/>
        <v>0</v>
      </c>
      <c r="D255" s="335"/>
      <c r="E255" s="336">
        <f t="shared" si="56"/>
        <v>0</v>
      </c>
      <c r="F255" s="336">
        <f t="shared" ca="1" si="48"/>
        <v>0</v>
      </c>
      <c r="G255" s="336">
        <f t="shared" ca="1" si="51"/>
        <v>0</v>
      </c>
      <c r="H255" s="336">
        <f t="shared" ca="1" si="52"/>
        <v>0</v>
      </c>
      <c r="I255" s="337">
        <f t="shared" ca="1" si="49"/>
        <v>0</v>
      </c>
    </row>
    <row r="256" spans="1:9">
      <c r="A256" s="335">
        <f t="shared" si="46"/>
        <v>239</v>
      </c>
      <c r="B256" s="340">
        <f t="shared" si="53"/>
        <v>53540</v>
      </c>
      <c r="C256" s="336">
        <f t="shared" ca="1" si="50"/>
        <v>0</v>
      </c>
      <c r="D256" s="335"/>
      <c r="E256" s="336">
        <f t="shared" si="56"/>
        <v>0</v>
      </c>
      <c r="F256" s="336">
        <f t="shared" ca="1" si="48"/>
        <v>0</v>
      </c>
      <c r="G256" s="336">
        <f t="shared" ca="1" si="51"/>
        <v>0</v>
      </c>
      <c r="H256" s="336">
        <f t="shared" ca="1" si="52"/>
        <v>0</v>
      </c>
      <c r="I256" s="337">
        <f t="shared" ca="1" si="49"/>
        <v>0</v>
      </c>
    </row>
    <row r="257" spans="1:9">
      <c r="A257" s="335">
        <f t="shared" si="46"/>
        <v>240</v>
      </c>
      <c r="B257" s="340">
        <f t="shared" si="53"/>
        <v>53571</v>
      </c>
      <c r="C257" s="336">
        <f t="shared" ca="1" si="50"/>
        <v>0</v>
      </c>
      <c r="D257" s="336">
        <f ca="1">IF(H257&lt;0,0,0.25*(K37-L37))</f>
        <v>513287</v>
      </c>
      <c r="E257" s="336">
        <f t="shared" ca="1" si="56"/>
        <v>0</v>
      </c>
      <c r="F257" s="336">
        <f t="shared" ca="1" si="48"/>
        <v>0</v>
      </c>
      <c r="G257" s="336">
        <f t="shared" ca="1" si="51"/>
        <v>0</v>
      </c>
      <c r="H257" s="336">
        <f t="shared" ca="1" si="52"/>
        <v>0</v>
      </c>
      <c r="I257" s="337">
        <f t="shared" ca="1" si="49"/>
        <v>513287</v>
      </c>
    </row>
    <row r="258" spans="1:9">
      <c r="A258" s="335">
        <f t="shared" si="46"/>
        <v>241</v>
      </c>
      <c r="B258" s="340">
        <f t="shared" si="53"/>
        <v>53601</v>
      </c>
      <c r="C258" s="336">
        <f t="shared" ca="1" si="50"/>
        <v>0</v>
      </c>
      <c r="D258" s="336"/>
      <c r="E258" s="336">
        <f t="shared" ref="E258:E269" si="57">IF($D$10=1,
 IF(OR(MONTH(B258)=MONTH(EDATE($D$7,0)),MONTH(B258)=MONTH(EDATE($D$7,3)),MONTH(B258)=MONTH(EDATE($D$7,6)),MONTH(B258)=MONTH(EDATE($D$7,9))),(MIN($D$257,H257)),0),
IF($D$10=0,
 IF(OR(MONTH(B258)=MONTH(EDATE($D$7,2)),MONTH(B258)=MONTH(EDATE($D$7,5)),MONTH(B258)=MONTH(EDATE($D$7,8)),MONTH(B258)=MONTH(EDATE($D$7,11))),(MIN($D$257,H257)),0)))</f>
        <v>0</v>
      </c>
      <c r="F258" s="336">
        <f t="shared" ca="1" si="48"/>
        <v>0</v>
      </c>
      <c r="G258" s="336">
        <f t="shared" ca="1" si="51"/>
        <v>0</v>
      </c>
      <c r="H258" s="336">
        <f t="shared" ca="1" si="52"/>
        <v>0</v>
      </c>
      <c r="I258" s="337">
        <f t="shared" ca="1" si="49"/>
        <v>0</v>
      </c>
    </row>
    <row r="259" spans="1:9">
      <c r="A259" s="335">
        <f t="shared" si="46"/>
        <v>242</v>
      </c>
      <c r="B259" s="340">
        <f t="shared" si="53"/>
        <v>53632</v>
      </c>
      <c r="C259" s="336">
        <f t="shared" ca="1" si="50"/>
        <v>0</v>
      </c>
      <c r="D259" s="335"/>
      <c r="E259" s="336">
        <f t="shared" si="57"/>
        <v>0</v>
      </c>
      <c r="F259" s="336">
        <f t="shared" ca="1" si="48"/>
        <v>0</v>
      </c>
      <c r="G259" s="336">
        <f t="shared" ca="1" si="51"/>
        <v>0</v>
      </c>
      <c r="H259" s="336">
        <f t="shared" ca="1" si="52"/>
        <v>0</v>
      </c>
      <c r="I259" s="337">
        <f t="shared" ca="1" si="49"/>
        <v>0</v>
      </c>
    </row>
    <row r="260" spans="1:9">
      <c r="A260" s="335">
        <f t="shared" si="46"/>
        <v>243</v>
      </c>
      <c r="B260" s="340">
        <f t="shared" si="53"/>
        <v>53662</v>
      </c>
      <c r="C260" s="336">
        <f t="shared" ca="1" si="50"/>
        <v>0</v>
      </c>
      <c r="D260" s="335"/>
      <c r="E260" s="336">
        <f t="shared" ca="1" si="57"/>
        <v>0</v>
      </c>
      <c r="F260" s="336">
        <f t="shared" ca="1" si="48"/>
        <v>0</v>
      </c>
      <c r="G260" s="336">
        <f t="shared" ca="1" si="51"/>
        <v>0</v>
      </c>
      <c r="H260" s="336">
        <f t="shared" ca="1" si="52"/>
        <v>0</v>
      </c>
      <c r="I260" s="337">
        <f t="shared" ca="1" si="49"/>
        <v>0</v>
      </c>
    </row>
    <row r="261" spans="1:9">
      <c r="A261" s="335">
        <f t="shared" si="46"/>
        <v>244</v>
      </c>
      <c r="B261" s="340">
        <f t="shared" si="53"/>
        <v>53693</v>
      </c>
      <c r="C261" s="336">
        <f t="shared" ca="1" si="50"/>
        <v>0</v>
      </c>
      <c r="D261" s="335"/>
      <c r="E261" s="336">
        <f t="shared" si="57"/>
        <v>0</v>
      </c>
      <c r="F261" s="336">
        <f t="shared" ca="1" si="48"/>
        <v>0</v>
      </c>
      <c r="G261" s="336">
        <f t="shared" ca="1" si="51"/>
        <v>0</v>
      </c>
      <c r="H261" s="336">
        <f t="shared" ca="1" si="52"/>
        <v>0</v>
      </c>
      <c r="I261" s="337">
        <f t="shared" ca="1" si="49"/>
        <v>0</v>
      </c>
    </row>
    <row r="262" spans="1:9">
      <c r="A262" s="335">
        <f t="shared" si="46"/>
        <v>245</v>
      </c>
      <c r="B262" s="340">
        <f t="shared" si="53"/>
        <v>53724</v>
      </c>
      <c r="C262" s="336">
        <f t="shared" ca="1" si="50"/>
        <v>0</v>
      </c>
      <c r="D262" s="335"/>
      <c r="E262" s="336">
        <f t="shared" si="57"/>
        <v>0</v>
      </c>
      <c r="F262" s="336">
        <f t="shared" ca="1" si="48"/>
        <v>0</v>
      </c>
      <c r="G262" s="336">
        <f t="shared" ca="1" si="51"/>
        <v>0</v>
      </c>
      <c r="H262" s="336">
        <f t="shared" ca="1" si="52"/>
        <v>0</v>
      </c>
      <c r="I262" s="337">
        <f t="shared" ca="1" si="49"/>
        <v>0</v>
      </c>
    </row>
    <row r="263" spans="1:9">
      <c r="A263" s="335">
        <f t="shared" si="46"/>
        <v>246</v>
      </c>
      <c r="B263" s="340">
        <f t="shared" si="53"/>
        <v>53752</v>
      </c>
      <c r="C263" s="336">
        <f t="shared" ca="1" si="50"/>
        <v>0</v>
      </c>
      <c r="D263" s="335"/>
      <c r="E263" s="336">
        <f t="shared" ca="1" si="57"/>
        <v>0</v>
      </c>
      <c r="F263" s="336">
        <f t="shared" ca="1" si="48"/>
        <v>0</v>
      </c>
      <c r="G263" s="336">
        <f t="shared" ca="1" si="51"/>
        <v>0</v>
      </c>
      <c r="H263" s="336">
        <f t="shared" ca="1" si="52"/>
        <v>0</v>
      </c>
      <c r="I263" s="337">
        <f t="shared" ca="1" si="49"/>
        <v>0</v>
      </c>
    </row>
    <row r="264" spans="1:9">
      <c r="A264" s="335">
        <f t="shared" si="46"/>
        <v>247</v>
      </c>
      <c r="B264" s="340">
        <f t="shared" si="53"/>
        <v>53783</v>
      </c>
      <c r="C264" s="336">
        <f t="shared" ca="1" si="50"/>
        <v>0</v>
      </c>
      <c r="D264" s="335"/>
      <c r="E264" s="336">
        <f t="shared" si="57"/>
        <v>0</v>
      </c>
      <c r="F264" s="336">
        <f t="shared" ca="1" si="48"/>
        <v>0</v>
      </c>
      <c r="G264" s="336">
        <f t="shared" ca="1" si="51"/>
        <v>0</v>
      </c>
      <c r="H264" s="336">
        <f t="shared" ca="1" si="52"/>
        <v>0</v>
      </c>
      <c r="I264" s="337">
        <f t="shared" ca="1" si="49"/>
        <v>0</v>
      </c>
    </row>
    <row r="265" spans="1:9">
      <c r="A265" s="335">
        <f t="shared" si="46"/>
        <v>248</v>
      </c>
      <c r="B265" s="340">
        <f t="shared" si="53"/>
        <v>53813</v>
      </c>
      <c r="C265" s="336">
        <f t="shared" ca="1" si="50"/>
        <v>0</v>
      </c>
      <c r="D265" s="335"/>
      <c r="E265" s="336">
        <f t="shared" si="57"/>
        <v>0</v>
      </c>
      <c r="F265" s="336">
        <f t="shared" ca="1" si="48"/>
        <v>0</v>
      </c>
      <c r="G265" s="336">
        <f t="shared" ca="1" si="51"/>
        <v>0</v>
      </c>
      <c r="H265" s="336">
        <f t="shared" ca="1" si="52"/>
        <v>0</v>
      </c>
      <c r="I265" s="337">
        <f t="shared" ca="1" si="49"/>
        <v>0</v>
      </c>
    </row>
    <row r="266" spans="1:9">
      <c r="A266" s="335">
        <f t="shared" si="46"/>
        <v>249</v>
      </c>
      <c r="B266" s="340">
        <f t="shared" si="53"/>
        <v>53844</v>
      </c>
      <c r="C266" s="336">
        <f t="shared" ca="1" si="50"/>
        <v>0</v>
      </c>
      <c r="D266" s="335"/>
      <c r="E266" s="336">
        <f t="shared" ca="1" si="57"/>
        <v>0</v>
      </c>
      <c r="F266" s="336">
        <f t="shared" ca="1" si="48"/>
        <v>0</v>
      </c>
      <c r="G266" s="336">
        <f t="shared" ca="1" si="51"/>
        <v>0</v>
      </c>
      <c r="H266" s="336">
        <f t="shared" ca="1" si="52"/>
        <v>0</v>
      </c>
      <c r="I266" s="337">
        <f t="shared" ca="1" si="49"/>
        <v>0</v>
      </c>
    </row>
    <row r="267" spans="1:9">
      <c r="A267" s="335">
        <f t="shared" si="46"/>
        <v>250</v>
      </c>
      <c r="B267" s="340">
        <f t="shared" si="53"/>
        <v>53874</v>
      </c>
      <c r="C267" s="336">
        <f t="shared" ca="1" si="50"/>
        <v>0</v>
      </c>
      <c r="D267" s="335"/>
      <c r="E267" s="336">
        <f t="shared" si="57"/>
        <v>0</v>
      </c>
      <c r="F267" s="336">
        <f t="shared" ca="1" si="48"/>
        <v>0</v>
      </c>
      <c r="G267" s="336">
        <f t="shared" ca="1" si="51"/>
        <v>0</v>
      </c>
      <c r="H267" s="336">
        <f t="shared" ca="1" si="52"/>
        <v>0</v>
      </c>
      <c r="I267" s="337">
        <f t="shared" ca="1" si="49"/>
        <v>0</v>
      </c>
    </row>
    <row r="268" spans="1:9">
      <c r="A268" s="335">
        <f t="shared" si="46"/>
        <v>251</v>
      </c>
      <c r="B268" s="340">
        <f t="shared" si="53"/>
        <v>53905</v>
      </c>
      <c r="C268" s="336">
        <f t="shared" ca="1" si="50"/>
        <v>0</v>
      </c>
      <c r="D268" s="335"/>
      <c r="E268" s="336">
        <f t="shared" si="57"/>
        <v>0</v>
      </c>
      <c r="F268" s="336">
        <f t="shared" ca="1" si="48"/>
        <v>0</v>
      </c>
      <c r="G268" s="336">
        <f t="shared" ca="1" si="51"/>
        <v>0</v>
      </c>
      <c r="H268" s="336">
        <f t="shared" ca="1" si="52"/>
        <v>0</v>
      </c>
      <c r="I268" s="337">
        <f t="shared" ca="1" si="49"/>
        <v>0</v>
      </c>
    </row>
    <row r="269" spans="1:9">
      <c r="A269" s="335">
        <f t="shared" si="46"/>
        <v>252</v>
      </c>
      <c r="B269" s="340">
        <f t="shared" si="53"/>
        <v>53936</v>
      </c>
      <c r="C269" s="336">
        <f t="shared" ca="1" si="50"/>
        <v>0</v>
      </c>
      <c r="D269" s="336">
        <f ca="1">IF(H269&lt;0,0,0.25*(K38-L38))</f>
        <v>524591.5</v>
      </c>
      <c r="E269" s="336">
        <f t="shared" ca="1" si="57"/>
        <v>0</v>
      </c>
      <c r="F269" s="336">
        <f t="shared" ca="1" si="48"/>
        <v>0</v>
      </c>
      <c r="G269" s="336">
        <f t="shared" ca="1" si="51"/>
        <v>0</v>
      </c>
      <c r="H269" s="336">
        <f t="shared" ca="1" si="52"/>
        <v>0</v>
      </c>
      <c r="I269" s="337">
        <f t="shared" ca="1" si="49"/>
        <v>524592</v>
      </c>
    </row>
    <row r="270" spans="1:9">
      <c r="A270" s="335">
        <f t="shared" si="46"/>
        <v>253</v>
      </c>
      <c r="B270" s="340">
        <f t="shared" si="53"/>
        <v>53966</v>
      </c>
      <c r="C270" s="336">
        <f t="shared" ca="1" si="50"/>
        <v>0</v>
      </c>
      <c r="D270" s="336"/>
      <c r="E270" s="336">
        <f t="shared" ref="E270:E281" si="58">IF($D$10=1,
 IF(OR(MONTH(B270)=MONTH(EDATE($D$7,0)),MONTH(B270)=MONTH(EDATE($D$7,3)),MONTH(B270)=MONTH(EDATE($D$7,6)),MONTH(B270)=MONTH(EDATE($D$7,9))),(MIN($D$269,H269)),0),
IF($D$10=0,
 IF(OR(MONTH(B270)=MONTH(EDATE($D$7,2)),MONTH(B270)=MONTH(EDATE($D$7,5)),MONTH(B270)=MONTH(EDATE($D$7,8)),MONTH(B270)=MONTH(EDATE($D$7,11))),(MIN($D$269,H269)),0)))</f>
        <v>0</v>
      </c>
      <c r="F270" s="336">
        <f t="shared" ca="1" si="48"/>
        <v>0</v>
      </c>
      <c r="G270" s="336">
        <f t="shared" ca="1" si="51"/>
        <v>0</v>
      </c>
      <c r="H270" s="336">
        <f t="shared" ca="1" si="52"/>
        <v>0</v>
      </c>
      <c r="I270" s="337">
        <f t="shared" ca="1" si="49"/>
        <v>0</v>
      </c>
    </row>
    <row r="271" spans="1:9">
      <c r="A271" s="335">
        <f t="shared" si="46"/>
        <v>254</v>
      </c>
      <c r="B271" s="340">
        <f t="shared" si="53"/>
        <v>53997</v>
      </c>
      <c r="C271" s="336">
        <f t="shared" ca="1" si="50"/>
        <v>0</v>
      </c>
      <c r="D271" s="335"/>
      <c r="E271" s="336">
        <f t="shared" si="58"/>
        <v>0</v>
      </c>
      <c r="F271" s="336">
        <f t="shared" ca="1" si="48"/>
        <v>0</v>
      </c>
      <c r="G271" s="336">
        <f t="shared" ca="1" si="51"/>
        <v>0</v>
      </c>
      <c r="H271" s="336">
        <f t="shared" ca="1" si="52"/>
        <v>0</v>
      </c>
      <c r="I271" s="337">
        <f t="shared" ca="1" si="49"/>
        <v>0</v>
      </c>
    </row>
    <row r="272" spans="1:9">
      <c r="A272" s="335">
        <f t="shared" si="46"/>
        <v>255</v>
      </c>
      <c r="B272" s="340">
        <f t="shared" si="53"/>
        <v>54027</v>
      </c>
      <c r="C272" s="336">
        <f t="shared" ca="1" si="50"/>
        <v>0</v>
      </c>
      <c r="D272" s="335"/>
      <c r="E272" s="336">
        <f t="shared" ca="1" si="58"/>
        <v>0</v>
      </c>
      <c r="F272" s="336">
        <f t="shared" ca="1" si="48"/>
        <v>0</v>
      </c>
      <c r="G272" s="336">
        <f t="shared" ca="1" si="51"/>
        <v>0</v>
      </c>
      <c r="H272" s="336">
        <f t="shared" ca="1" si="52"/>
        <v>0</v>
      </c>
      <c r="I272" s="337">
        <f t="shared" ca="1" si="49"/>
        <v>0</v>
      </c>
    </row>
    <row r="273" spans="1:9">
      <c r="A273" s="335">
        <f t="shared" si="46"/>
        <v>256</v>
      </c>
      <c r="B273" s="340">
        <f t="shared" si="53"/>
        <v>54058</v>
      </c>
      <c r="C273" s="336">
        <f t="shared" ca="1" si="50"/>
        <v>0</v>
      </c>
      <c r="D273" s="335"/>
      <c r="E273" s="336">
        <f t="shared" si="58"/>
        <v>0</v>
      </c>
      <c r="F273" s="336">
        <f t="shared" ca="1" si="48"/>
        <v>0</v>
      </c>
      <c r="G273" s="336">
        <f t="shared" ca="1" si="51"/>
        <v>0</v>
      </c>
      <c r="H273" s="336">
        <f t="shared" ca="1" si="52"/>
        <v>0</v>
      </c>
      <c r="I273" s="337">
        <f t="shared" ca="1" si="49"/>
        <v>0</v>
      </c>
    </row>
    <row r="274" spans="1:9">
      <c r="A274" s="335">
        <f t="shared" ref="A274:A337" si="59">IF(A273="","",IF(A273=$D$6,"",A273+1))</f>
        <v>257</v>
      </c>
      <c r="B274" s="340">
        <f t="shared" si="53"/>
        <v>54089</v>
      </c>
      <c r="C274" s="336">
        <f t="shared" ca="1" si="50"/>
        <v>0</v>
      </c>
      <c r="D274" s="335"/>
      <c r="E274" s="336">
        <f t="shared" si="58"/>
        <v>0</v>
      </c>
      <c r="F274" s="336">
        <f t="shared" ref="F274:F317" ca="1" si="60">IF(E274="","",E274-G274)</f>
        <v>0</v>
      </c>
      <c r="G274" s="336">
        <f t="shared" ca="1" si="51"/>
        <v>0</v>
      </c>
      <c r="H274" s="336">
        <f t="shared" ca="1" si="52"/>
        <v>0</v>
      </c>
      <c r="I274" s="337">
        <f t="shared" ref="I274:I317" ca="1" si="61">ROUND((D274-H274),0)</f>
        <v>0</v>
      </c>
    </row>
    <row r="275" spans="1:9">
      <c r="A275" s="335">
        <f t="shared" si="59"/>
        <v>258</v>
      </c>
      <c r="B275" s="340">
        <f t="shared" si="53"/>
        <v>54118</v>
      </c>
      <c r="C275" s="336">
        <f t="shared" ref="C275:C317" ca="1" si="62">IF(H274=0,0,H274)</f>
        <v>0</v>
      </c>
      <c r="D275" s="335"/>
      <c r="E275" s="336">
        <f t="shared" ca="1" si="58"/>
        <v>0</v>
      </c>
      <c r="F275" s="336">
        <f t="shared" ca="1" si="60"/>
        <v>0</v>
      </c>
      <c r="G275" s="336">
        <f t="shared" ref="G275:G317" ca="1" si="63">ROUND((C275-E275)*$D$5,3)</f>
        <v>0</v>
      </c>
      <c r="H275" s="336">
        <f t="shared" ref="H275:H317" ca="1" si="64">IF(E275="","",ROUND(H274-F275,4))</f>
        <v>0</v>
      </c>
      <c r="I275" s="337">
        <f t="shared" ca="1" si="61"/>
        <v>0</v>
      </c>
    </row>
    <row r="276" spans="1:9">
      <c r="A276" s="335">
        <f t="shared" si="59"/>
        <v>259</v>
      </c>
      <c r="B276" s="340">
        <f t="shared" ref="B276:B339" si="65">DATE(YEAR(B275),MONTH(B275)+1,1)</f>
        <v>54149</v>
      </c>
      <c r="C276" s="336">
        <f t="shared" ca="1" si="62"/>
        <v>0</v>
      </c>
      <c r="D276" s="335"/>
      <c r="E276" s="336">
        <f t="shared" si="58"/>
        <v>0</v>
      </c>
      <c r="F276" s="336">
        <f t="shared" ca="1" si="60"/>
        <v>0</v>
      </c>
      <c r="G276" s="336">
        <f t="shared" ca="1" si="63"/>
        <v>0</v>
      </c>
      <c r="H276" s="336">
        <f t="shared" ca="1" si="64"/>
        <v>0</v>
      </c>
      <c r="I276" s="337">
        <f t="shared" ca="1" si="61"/>
        <v>0</v>
      </c>
    </row>
    <row r="277" spans="1:9">
      <c r="A277" s="335">
        <f t="shared" si="59"/>
        <v>260</v>
      </c>
      <c r="B277" s="340">
        <f t="shared" si="65"/>
        <v>54179</v>
      </c>
      <c r="C277" s="336">
        <f t="shared" ca="1" si="62"/>
        <v>0</v>
      </c>
      <c r="D277" s="335"/>
      <c r="E277" s="336">
        <f t="shared" si="58"/>
        <v>0</v>
      </c>
      <c r="F277" s="336">
        <f t="shared" ca="1" si="60"/>
        <v>0</v>
      </c>
      <c r="G277" s="336">
        <f t="shared" ca="1" si="63"/>
        <v>0</v>
      </c>
      <c r="H277" s="336">
        <f t="shared" ca="1" si="64"/>
        <v>0</v>
      </c>
      <c r="I277" s="337">
        <f t="shared" ca="1" si="61"/>
        <v>0</v>
      </c>
    </row>
    <row r="278" spans="1:9">
      <c r="A278" s="335">
        <f t="shared" si="59"/>
        <v>261</v>
      </c>
      <c r="B278" s="340">
        <f t="shared" si="65"/>
        <v>54210</v>
      </c>
      <c r="C278" s="336">
        <f t="shared" ca="1" si="62"/>
        <v>0</v>
      </c>
      <c r="D278" s="335"/>
      <c r="E278" s="336">
        <f t="shared" ca="1" si="58"/>
        <v>0</v>
      </c>
      <c r="F278" s="336">
        <f t="shared" ca="1" si="60"/>
        <v>0</v>
      </c>
      <c r="G278" s="336">
        <f t="shared" ca="1" si="63"/>
        <v>0</v>
      </c>
      <c r="H278" s="336">
        <f t="shared" ca="1" si="64"/>
        <v>0</v>
      </c>
      <c r="I278" s="337">
        <f t="shared" ca="1" si="61"/>
        <v>0</v>
      </c>
    </row>
    <row r="279" spans="1:9">
      <c r="A279" s="335">
        <f t="shared" si="59"/>
        <v>262</v>
      </c>
      <c r="B279" s="340">
        <f t="shared" si="65"/>
        <v>54240</v>
      </c>
      <c r="C279" s="336">
        <f t="shared" ca="1" si="62"/>
        <v>0</v>
      </c>
      <c r="D279" s="335"/>
      <c r="E279" s="336">
        <f t="shared" si="58"/>
        <v>0</v>
      </c>
      <c r="F279" s="336">
        <f t="shared" ca="1" si="60"/>
        <v>0</v>
      </c>
      <c r="G279" s="336">
        <f t="shared" ca="1" si="63"/>
        <v>0</v>
      </c>
      <c r="H279" s="336">
        <f t="shared" ca="1" si="64"/>
        <v>0</v>
      </c>
      <c r="I279" s="337">
        <f t="shared" ca="1" si="61"/>
        <v>0</v>
      </c>
    </row>
    <row r="280" spans="1:9">
      <c r="A280" s="335">
        <f t="shared" si="59"/>
        <v>263</v>
      </c>
      <c r="B280" s="340">
        <f t="shared" si="65"/>
        <v>54271</v>
      </c>
      <c r="C280" s="336">
        <f t="shared" ca="1" si="62"/>
        <v>0</v>
      </c>
      <c r="D280" s="335"/>
      <c r="E280" s="336">
        <f t="shared" si="58"/>
        <v>0</v>
      </c>
      <c r="F280" s="336">
        <f t="shared" ca="1" si="60"/>
        <v>0</v>
      </c>
      <c r="G280" s="336">
        <f t="shared" ca="1" si="63"/>
        <v>0</v>
      </c>
      <c r="H280" s="336">
        <f t="shared" ca="1" si="64"/>
        <v>0</v>
      </c>
      <c r="I280" s="337">
        <f t="shared" ca="1" si="61"/>
        <v>0</v>
      </c>
    </row>
    <row r="281" spans="1:9">
      <c r="A281" s="335">
        <f t="shared" si="59"/>
        <v>264</v>
      </c>
      <c r="B281" s="340">
        <f t="shared" si="65"/>
        <v>54302</v>
      </c>
      <c r="C281" s="336">
        <f t="shared" ca="1" si="62"/>
        <v>0</v>
      </c>
      <c r="D281" s="336">
        <f ca="1">IF(H281&lt;0,0,0.25*(K39-L39))</f>
        <v>536208</v>
      </c>
      <c r="E281" s="336">
        <f t="shared" ca="1" si="58"/>
        <v>0</v>
      </c>
      <c r="F281" s="336">
        <f t="shared" ca="1" si="60"/>
        <v>0</v>
      </c>
      <c r="G281" s="336">
        <f t="shared" ca="1" si="63"/>
        <v>0</v>
      </c>
      <c r="H281" s="336">
        <f t="shared" ca="1" si="64"/>
        <v>0</v>
      </c>
      <c r="I281" s="337">
        <f t="shared" ca="1" si="61"/>
        <v>536208</v>
      </c>
    </row>
    <row r="282" spans="1:9">
      <c r="A282" s="335">
        <f t="shared" si="59"/>
        <v>265</v>
      </c>
      <c r="B282" s="340">
        <f t="shared" si="65"/>
        <v>54332</v>
      </c>
      <c r="C282" s="336">
        <f t="shared" ca="1" si="62"/>
        <v>0</v>
      </c>
      <c r="D282" s="336"/>
      <c r="E282" s="336">
        <f t="shared" ref="E282:E293" si="66">IF($D$10=1,
 IF(OR(MONTH(B282)=MONTH(EDATE($D$7,0)),MONTH(B282)=MONTH(EDATE($D$7,3)),MONTH(B282)=MONTH(EDATE($D$7,6)),MONTH(B282)=MONTH(EDATE($D$7,9))),(MIN($D$281,H281)),0),
IF($D$10=0,
 IF(OR(MONTH(B282)=MONTH(EDATE($D$7,2)),MONTH(B282)=MONTH(EDATE($D$7,5)),MONTH(B282)=MONTH(EDATE($D$7,8)),MONTH(B282)=MONTH(EDATE($D$7,11))),(MIN($D$281,H281)),0)))</f>
        <v>0</v>
      </c>
      <c r="F282" s="336">
        <f t="shared" ca="1" si="60"/>
        <v>0</v>
      </c>
      <c r="G282" s="336">
        <f t="shared" ca="1" si="63"/>
        <v>0</v>
      </c>
      <c r="H282" s="336">
        <f t="shared" ca="1" si="64"/>
        <v>0</v>
      </c>
      <c r="I282" s="337">
        <f t="shared" ca="1" si="61"/>
        <v>0</v>
      </c>
    </row>
    <row r="283" spans="1:9">
      <c r="A283" s="335">
        <f t="shared" si="59"/>
        <v>266</v>
      </c>
      <c r="B283" s="340">
        <f t="shared" si="65"/>
        <v>54363</v>
      </c>
      <c r="C283" s="336">
        <f t="shared" ca="1" si="62"/>
        <v>0</v>
      </c>
      <c r="D283" s="335"/>
      <c r="E283" s="336">
        <f t="shared" si="66"/>
        <v>0</v>
      </c>
      <c r="F283" s="336">
        <f t="shared" ca="1" si="60"/>
        <v>0</v>
      </c>
      <c r="G283" s="336">
        <f t="shared" ca="1" si="63"/>
        <v>0</v>
      </c>
      <c r="H283" s="336">
        <f t="shared" ca="1" si="64"/>
        <v>0</v>
      </c>
      <c r="I283" s="337">
        <f t="shared" ca="1" si="61"/>
        <v>0</v>
      </c>
    </row>
    <row r="284" spans="1:9">
      <c r="A284" s="335">
        <f t="shared" si="59"/>
        <v>267</v>
      </c>
      <c r="B284" s="340">
        <f t="shared" si="65"/>
        <v>54393</v>
      </c>
      <c r="C284" s="336">
        <f t="shared" ca="1" si="62"/>
        <v>0</v>
      </c>
      <c r="D284" s="335"/>
      <c r="E284" s="336">
        <f t="shared" ca="1" si="66"/>
        <v>0</v>
      </c>
      <c r="F284" s="336">
        <f t="shared" ca="1" si="60"/>
        <v>0</v>
      </c>
      <c r="G284" s="336">
        <f t="shared" ca="1" si="63"/>
        <v>0</v>
      </c>
      <c r="H284" s="336">
        <f t="shared" ca="1" si="64"/>
        <v>0</v>
      </c>
      <c r="I284" s="337">
        <f t="shared" ca="1" si="61"/>
        <v>0</v>
      </c>
    </row>
    <row r="285" spans="1:9">
      <c r="A285" s="335">
        <f t="shared" si="59"/>
        <v>268</v>
      </c>
      <c r="B285" s="340">
        <f t="shared" si="65"/>
        <v>54424</v>
      </c>
      <c r="C285" s="336">
        <f t="shared" ca="1" si="62"/>
        <v>0</v>
      </c>
      <c r="D285" s="335"/>
      <c r="E285" s="336">
        <f t="shared" si="66"/>
        <v>0</v>
      </c>
      <c r="F285" s="336">
        <f t="shared" ca="1" si="60"/>
        <v>0</v>
      </c>
      <c r="G285" s="336">
        <f t="shared" ca="1" si="63"/>
        <v>0</v>
      </c>
      <c r="H285" s="336">
        <f t="shared" ca="1" si="64"/>
        <v>0</v>
      </c>
      <c r="I285" s="337">
        <f t="shared" ca="1" si="61"/>
        <v>0</v>
      </c>
    </row>
    <row r="286" spans="1:9">
      <c r="A286" s="335">
        <f t="shared" si="59"/>
        <v>269</v>
      </c>
      <c r="B286" s="340">
        <f t="shared" si="65"/>
        <v>54455</v>
      </c>
      <c r="C286" s="336">
        <f t="shared" ca="1" si="62"/>
        <v>0</v>
      </c>
      <c r="D286" s="335"/>
      <c r="E286" s="336">
        <f t="shared" si="66"/>
        <v>0</v>
      </c>
      <c r="F286" s="336">
        <f t="shared" ca="1" si="60"/>
        <v>0</v>
      </c>
      <c r="G286" s="336">
        <f t="shared" ca="1" si="63"/>
        <v>0</v>
      </c>
      <c r="H286" s="336">
        <f t="shared" ca="1" si="64"/>
        <v>0</v>
      </c>
      <c r="I286" s="337">
        <f t="shared" ca="1" si="61"/>
        <v>0</v>
      </c>
    </row>
    <row r="287" spans="1:9">
      <c r="A287" s="335">
        <f t="shared" si="59"/>
        <v>270</v>
      </c>
      <c r="B287" s="340">
        <f t="shared" si="65"/>
        <v>54483</v>
      </c>
      <c r="C287" s="336">
        <f t="shared" ca="1" si="62"/>
        <v>0</v>
      </c>
      <c r="D287" s="335"/>
      <c r="E287" s="336">
        <f t="shared" ca="1" si="66"/>
        <v>0</v>
      </c>
      <c r="F287" s="336">
        <f t="shared" ca="1" si="60"/>
        <v>0</v>
      </c>
      <c r="G287" s="336">
        <f t="shared" ca="1" si="63"/>
        <v>0</v>
      </c>
      <c r="H287" s="336">
        <f t="shared" ca="1" si="64"/>
        <v>0</v>
      </c>
      <c r="I287" s="337">
        <f t="shared" ca="1" si="61"/>
        <v>0</v>
      </c>
    </row>
    <row r="288" spans="1:9">
      <c r="A288" s="335">
        <f t="shared" si="59"/>
        <v>271</v>
      </c>
      <c r="B288" s="340">
        <f t="shared" si="65"/>
        <v>54514</v>
      </c>
      <c r="C288" s="336">
        <f t="shared" ca="1" si="62"/>
        <v>0</v>
      </c>
      <c r="D288" s="335"/>
      <c r="E288" s="336">
        <f t="shared" si="66"/>
        <v>0</v>
      </c>
      <c r="F288" s="336">
        <f t="shared" ca="1" si="60"/>
        <v>0</v>
      </c>
      <c r="G288" s="336">
        <f t="shared" ca="1" si="63"/>
        <v>0</v>
      </c>
      <c r="H288" s="336">
        <f t="shared" ca="1" si="64"/>
        <v>0</v>
      </c>
      <c r="I288" s="337">
        <f t="shared" ca="1" si="61"/>
        <v>0</v>
      </c>
    </row>
    <row r="289" spans="1:9">
      <c r="A289" s="335">
        <f t="shared" si="59"/>
        <v>272</v>
      </c>
      <c r="B289" s="340">
        <f t="shared" si="65"/>
        <v>54544</v>
      </c>
      <c r="C289" s="336">
        <f t="shared" ca="1" si="62"/>
        <v>0</v>
      </c>
      <c r="D289" s="335"/>
      <c r="E289" s="336">
        <f t="shared" si="66"/>
        <v>0</v>
      </c>
      <c r="F289" s="336">
        <f t="shared" ca="1" si="60"/>
        <v>0</v>
      </c>
      <c r="G289" s="336">
        <f t="shared" ca="1" si="63"/>
        <v>0</v>
      </c>
      <c r="H289" s="336">
        <f t="shared" ca="1" si="64"/>
        <v>0</v>
      </c>
      <c r="I289" s="337">
        <f t="shared" ca="1" si="61"/>
        <v>0</v>
      </c>
    </row>
    <row r="290" spans="1:9">
      <c r="A290" s="335">
        <f t="shared" si="59"/>
        <v>273</v>
      </c>
      <c r="B290" s="340">
        <f t="shared" si="65"/>
        <v>54575</v>
      </c>
      <c r="C290" s="336">
        <f t="shared" ca="1" si="62"/>
        <v>0</v>
      </c>
      <c r="D290" s="335"/>
      <c r="E290" s="336">
        <f t="shared" ca="1" si="66"/>
        <v>0</v>
      </c>
      <c r="F290" s="336">
        <f t="shared" ca="1" si="60"/>
        <v>0</v>
      </c>
      <c r="G290" s="336">
        <f t="shared" ca="1" si="63"/>
        <v>0</v>
      </c>
      <c r="H290" s="336">
        <f t="shared" ca="1" si="64"/>
        <v>0</v>
      </c>
      <c r="I290" s="337">
        <f t="shared" ca="1" si="61"/>
        <v>0</v>
      </c>
    </row>
    <row r="291" spans="1:9">
      <c r="A291" s="335">
        <f t="shared" si="59"/>
        <v>274</v>
      </c>
      <c r="B291" s="340">
        <f t="shared" si="65"/>
        <v>54605</v>
      </c>
      <c r="C291" s="336">
        <f t="shared" ca="1" si="62"/>
        <v>0</v>
      </c>
      <c r="D291" s="335"/>
      <c r="E291" s="336">
        <f t="shared" si="66"/>
        <v>0</v>
      </c>
      <c r="F291" s="336">
        <f t="shared" ca="1" si="60"/>
        <v>0</v>
      </c>
      <c r="G291" s="336">
        <f t="shared" ca="1" si="63"/>
        <v>0</v>
      </c>
      <c r="H291" s="336">
        <f t="shared" ca="1" si="64"/>
        <v>0</v>
      </c>
      <c r="I291" s="337">
        <f t="shared" ca="1" si="61"/>
        <v>0</v>
      </c>
    </row>
    <row r="292" spans="1:9">
      <c r="A292" s="335">
        <f t="shared" si="59"/>
        <v>275</v>
      </c>
      <c r="B292" s="340">
        <f t="shared" si="65"/>
        <v>54636</v>
      </c>
      <c r="C292" s="336">
        <f t="shared" ca="1" si="62"/>
        <v>0</v>
      </c>
      <c r="D292" s="335"/>
      <c r="E292" s="336">
        <f t="shared" si="66"/>
        <v>0</v>
      </c>
      <c r="F292" s="336">
        <f t="shared" ca="1" si="60"/>
        <v>0</v>
      </c>
      <c r="G292" s="336">
        <f t="shared" ca="1" si="63"/>
        <v>0</v>
      </c>
      <c r="H292" s="336">
        <f t="shared" ca="1" si="64"/>
        <v>0</v>
      </c>
      <c r="I292" s="337">
        <f t="shared" ca="1" si="61"/>
        <v>0</v>
      </c>
    </row>
    <row r="293" spans="1:9">
      <c r="A293" s="335">
        <f t="shared" si="59"/>
        <v>276</v>
      </c>
      <c r="B293" s="340">
        <f t="shared" si="65"/>
        <v>54667</v>
      </c>
      <c r="C293" s="336">
        <f t="shared" ca="1" si="62"/>
        <v>0</v>
      </c>
      <c r="D293" s="336">
        <f ca="1">IF(H293&lt;0,0,0.25*(K40-L40))</f>
        <v>548147</v>
      </c>
      <c r="E293" s="336">
        <f t="shared" ca="1" si="66"/>
        <v>0</v>
      </c>
      <c r="F293" s="336">
        <f t="shared" ca="1" si="60"/>
        <v>0</v>
      </c>
      <c r="G293" s="336">
        <f t="shared" ca="1" si="63"/>
        <v>0</v>
      </c>
      <c r="H293" s="336">
        <f t="shared" ca="1" si="64"/>
        <v>0</v>
      </c>
      <c r="I293" s="337">
        <f t="shared" ca="1" si="61"/>
        <v>548147</v>
      </c>
    </row>
    <row r="294" spans="1:9">
      <c r="A294" s="335">
        <f t="shared" si="59"/>
        <v>277</v>
      </c>
      <c r="B294" s="340">
        <f t="shared" si="65"/>
        <v>54697</v>
      </c>
      <c r="C294" s="336">
        <f t="shared" ca="1" si="62"/>
        <v>0</v>
      </c>
      <c r="D294" s="335"/>
      <c r="E294" s="336">
        <f t="shared" ref="E294:E305" si="67">IF($D$10=1,
 IF(OR(MONTH(B294)=MONTH(EDATE($D$7,0)),MONTH(B294)=MONTH(EDATE($D$7,3)),MONTH(B294)=MONTH(EDATE($D$7,6)),MONTH(B294)=MONTH(EDATE($D$7,9))),(MIN($D$293,H293)),0),
IF($D$10=0,
 IF(OR(MONTH(B294)=MONTH(EDATE($D$7,2)),MONTH(B294)=MONTH(EDATE($D$7,5)),MONTH(B294)=MONTH(EDATE($D$7,8)),MONTH(B294)=MONTH(EDATE($D$7,11))),(MIN($D$293,H293)),0)))</f>
        <v>0</v>
      </c>
      <c r="F294" s="336">
        <f t="shared" ca="1" si="60"/>
        <v>0</v>
      </c>
      <c r="G294" s="336">
        <f t="shared" ca="1" si="63"/>
        <v>0</v>
      </c>
      <c r="H294" s="336">
        <f t="shared" ca="1" si="64"/>
        <v>0</v>
      </c>
      <c r="I294" s="337">
        <f t="shared" ca="1" si="61"/>
        <v>0</v>
      </c>
    </row>
    <row r="295" spans="1:9">
      <c r="A295" s="335">
        <f t="shared" si="59"/>
        <v>278</v>
      </c>
      <c r="B295" s="340">
        <f t="shared" si="65"/>
        <v>54728</v>
      </c>
      <c r="C295" s="336">
        <f t="shared" ca="1" si="62"/>
        <v>0</v>
      </c>
      <c r="D295" s="335"/>
      <c r="E295" s="336">
        <f t="shared" si="67"/>
        <v>0</v>
      </c>
      <c r="F295" s="336">
        <f t="shared" ca="1" si="60"/>
        <v>0</v>
      </c>
      <c r="G295" s="336">
        <f t="shared" ca="1" si="63"/>
        <v>0</v>
      </c>
      <c r="H295" s="336">
        <f t="shared" ca="1" si="64"/>
        <v>0</v>
      </c>
      <c r="I295" s="337">
        <f t="shared" ca="1" si="61"/>
        <v>0</v>
      </c>
    </row>
    <row r="296" spans="1:9">
      <c r="A296" s="335">
        <f t="shared" si="59"/>
        <v>279</v>
      </c>
      <c r="B296" s="340">
        <f t="shared" si="65"/>
        <v>54758</v>
      </c>
      <c r="C296" s="336">
        <f t="shared" ca="1" si="62"/>
        <v>0</v>
      </c>
      <c r="D296" s="335"/>
      <c r="E296" s="336">
        <f t="shared" ca="1" si="67"/>
        <v>0</v>
      </c>
      <c r="F296" s="336">
        <f t="shared" ca="1" si="60"/>
        <v>0</v>
      </c>
      <c r="G296" s="336">
        <f t="shared" ca="1" si="63"/>
        <v>0</v>
      </c>
      <c r="H296" s="336">
        <f t="shared" ca="1" si="64"/>
        <v>0</v>
      </c>
      <c r="I296" s="337">
        <f t="shared" ca="1" si="61"/>
        <v>0</v>
      </c>
    </row>
    <row r="297" spans="1:9">
      <c r="A297" s="335">
        <f t="shared" si="59"/>
        <v>280</v>
      </c>
      <c r="B297" s="340">
        <f t="shared" si="65"/>
        <v>54789</v>
      </c>
      <c r="C297" s="336">
        <f t="shared" ca="1" si="62"/>
        <v>0</v>
      </c>
      <c r="D297" s="335"/>
      <c r="E297" s="336">
        <f t="shared" si="67"/>
        <v>0</v>
      </c>
      <c r="F297" s="336">
        <f t="shared" ca="1" si="60"/>
        <v>0</v>
      </c>
      <c r="G297" s="336">
        <f t="shared" ca="1" si="63"/>
        <v>0</v>
      </c>
      <c r="H297" s="336">
        <f t="shared" ca="1" si="64"/>
        <v>0</v>
      </c>
      <c r="I297" s="337">
        <f t="shared" ca="1" si="61"/>
        <v>0</v>
      </c>
    </row>
    <row r="298" spans="1:9">
      <c r="A298" s="335">
        <f t="shared" si="59"/>
        <v>281</v>
      </c>
      <c r="B298" s="340">
        <f t="shared" si="65"/>
        <v>54820</v>
      </c>
      <c r="C298" s="336">
        <f t="shared" ca="1" si="62"/>
        <v>0</v>
      </c>
      <c r="D298" s="335"/>
      <c r="E298" s="336">
        <f t="shared" si="67"/>
        <v>0</v>
      </c>
      <c r="F298" s="336">
        <f t="shared" ca="1" si="60"/>
        <v>0</v>
      </c>
      <c r="G298" s="336">
        <f t="shared" ca="1" si="63"/>
        <v>0</v>
      </c>
      <c r="H298" s="336">
        <f t="shared" ca="1" si="64"/>
        <v>0</v>
      </c>
      <c r="I298" s="337">
        <f t="shared" ca="1" si="61"/>
        <v>0</v>
      </c>
    </row>
    <row r="299" spans="1:9">
      <c r="A299" s="335">
        <f t="shared" si="59"/>
        <v>282</v>
      </c>
      <c r="B299" s="340">
        <f t="shared" si="65"/>
        <v>54848</v>
      </c>
      <c r="C299" s="336">
        <f t="shared" ca="1" si="62"/>
        <v>0</v>
      </c>
      <c r="D299" s="335"/>
      <c r="E299" s="336">
        <f t="shared" ca="1" si="67"/>
        <v>0</v>
      </c>
      <c r="F299" s="336">
        <f t="shared" ca="1" si="60"/>
        <v>0</v>
      </c>
      <c r="G299" s="336">
        <f t="shared" ca="1" si="63"/>
        <v>0</v>
      </c>
      <c r="H299" s="336">
        <f t="shared" ca="1" si="64"/>
        <v>0</v>
      </c>
      <c r="I299" s="337">
        <f t="shared" ca="1" si="61"/>
        <v>0</v>
      </c>
    </row>
    <row r="300" spans="1:9">
      <c r="A300" s="335">
        <f t="shared" si="59"/>
        <v>283</v>
      </c>
      <c r="B300" s="340">
        <f t="shared" si="65"/>
        <v>54879</v>
      </c>
      <c r="C300" s="336">
        <f t="shared" ca="1" si="62"/>
        <v>0</v>
      </c>
      <c r="D300" s="335"/>
      <c r="E300" s="336">
        <f t="shared" si="67"/>
        <v>0</v>
      </c>
      <c r="F300" s="336">
        <f t="shared" ca="1" si="60"/>
        <v>0</v>
      </c>
      <c r="G300" s="336">
        <f t="shared" ca="1" si="63"/>
        <v>0</v>
      </c>
      <c r="H300" s="336">
        <f t="shared" ca="1" si="64"/>
        <v>0</v>
      </c>
      <c r="I300" s="337">
        <f t="shared" ca="1" si="61"/>
        <v>0</v>
      </c>
    </row>
    <row r="301" spans="1:9">
      <c r="A301" s="335">
        <f t="shared" si="59"/>
        <v>284</v>
      </c>
      <c r="B301" s="340">
        <f t="shared" si="65"/>
        <v>54909</v>
      </c>
      <c r="C301" s="336">
        <f t="shared" ca="1" si="62"/>
        <v>0</v>
      </c>
      <c r="D301" s="335"/>
      <c r="E301" s="336">
        <f t="shared" si="67"/>
        <v>0</v>
      </c>
      <c r="F301" s="336">
        <f t="shared" ca="1" si="60"/>
        <v>0</v>
      </c>
      <c r="G301" s="336">
        <f t="shared" ca="1" si="63"/>
        <v>0</v>
      </c>
      <c r="H301" s="336">
        <f t="shared" ca="1" si="64"/>
        <v>0</v>
      </c>
      <c r="I301" s="337">
        <f t="shared" ca="1" si="61"/>
        <v>0</v>
      </c>
    </row>
    <row r="302" spans="1:9">
      <c r="A302" s="335">
        <f t="shared" si="59"/>
        <v>285</v>
      </c>
      <c r="B302" s="340">
        <f t="shared" si="65"/>
        <v>54940</v>
      </c>
      <c r="C302" s="336">
        <f t="shared" ca="1" si="62"/>
        <v>0</v>
      </c>
      <c r="D302" s="335"/>
      <c r="E302" s="336">
        <f t="shared" ca="1" si="67"/>
        <v>0</v>
      </c>
      <c r="F302" s="336">
        <f ca="1">IF(E302="","",E302-G302)</f>
        <v>0</v>
      </c>
      <c r="G302" s="336">
        <f t="shared" ca="1" si="63"/>
        <v>0</v>
      </c>
      <c r="H302" s="336">
        <f t="shared" ca="1" si="64"/>
        <v>0</v>
      </c>
      <c r="I302" s="337">
        <f t="shared" ca="1" si="61"/>
        <v>0</v>
      </c>
    </row>
    <row r="303" spans="1:9">
      <c r="A303" s="335">
        <f t="shared" si="59"/>
        <v>286</v>
      </c>
      <c r="B303" s="340">
        <f t="shared" si="65"/>
        <v>54970</v>
      </c>
      <c r="C303" s="336">
        <f t="shared" ca="1" si="62"/>
        <v>0</v>
      </c>
      <c r="D303" s="335"/>
      <c r="E303" s="336">
        <f t="shared" si="67"/>
        <v>0</v>
      </c>
      <c r="F303" s="336">
        <f t="shared" ca="1" si="60"/>
        <v>0</v>
      </c>
      <c r="G303" s="336">
        <f t="shared" ca="1" si="63"/>
        <v>0</v>
      </c>
      <c r="H303" s="336">
        <f t="shared" ca="1" si="64"/>
        <v>0</v>
      </c>
      <c r="I303" s="337">
        <f t="shared" ca="1" si="61"/>
        <v>0</v>
      </c>
    </row>
    <row r="304" spans="1:9">
      <c r="A304" s="335">
        <f t="shared" si="59"/>
        <v>287</v>
      </c>
      <c r="B304" s="340">
        <f t="shared" si="65"/>
        <v>55001</v>
      </c>
      <c r="C304" s="336">
        <f t="shared" ca="1" si="62"/>
        <v>0</v>
      </c>
      <c r="D304" s="335"/>
      <c r="E304" s="336">
        <f t="shared" si="67"/>
        <v>0</v>
      </c>
      <c r="F304" s="336">
        <f t="shared" ca="1" si="60"/>
        <v>0</v>
      </c>
      <c r="G304" s="336">
        <f t="shared" ca="1" si="63"/>
        <v>0</v>
      </c>
      <c r="H304" s="336">
        <f t="shared" ca="1" si="64"/>
        <v>0</v>
      </c>
      <c r="I304" s="337">
        <f t="shared" ca="1" si="61"/>
        <v>0</v>
      </c>
    </row>
    <row r="305" spans="1:9">
      <c r="A305" s="335">
        <f t="shared" si="59"/>
        <v>288</v>
      </c>
      <c r="B305" s="340">
        <f t="shared" si="65"/>
        <v>55032</v>
      </c>
      <c r="C305" s="336">
        <f t="shared" ca="1" si="62"/>
        <v>0</v>
      </c>
      <c r="D305" s="336">
        <f ca="1">IF(H305&lt;0,0,0.25*(K41-L41))</f>
        <v>560418.5</v>
      </c>
      <c r="E305" s="336">
        <f t="shared" ca="1" si="67"/>
        <v>0</v>
      </c>
      <c r="F305" s="336">
        <f t="shared" ca="1" si="60"/>
        <v>0</v>
      </c>
      <c r="G305" s="336">
        <f t="shared" ca="1" si="63"/>
        <v>0</v>
      </c>
      <c r="H305" s="336">
        <f t="shared" ca="1" si="64"/>
        <v>0</v>
      </c>
      <c r="I305" s="337">
        <f t="shared" ca="1" si="61"/>
        <v>560419</v>
      </c>
    </row>
    <row r="306" spans="1:9">
      <c r="A306" s="335">
        <f t="shared" si="59"/>
        <v>289</v>
      </c>
      <c r="B306" s="340">
        <f t="shared" si="65"/>
        <v>55062</v>
      </c>
      <c r="C306" s="336">
        <f t="shared" ca="1" si="62"/>
        <v>0</v>
      </c>
      <c r="D306" s="335"/>
      <c r="E306" s="336">
        <f t="shared" ref="E306:E317" si="68">IF($D$10=1,
 IF(OR(MONTH(B306)=MONTH(EDATE($D$7,0)),MONTH(B306)=MONTH(EDATE($D$7,3)),MONTH(B306)=MONTH(EDATE($D$7,6)),MONTH(B306)=MONTH(EDATE($D$7,9))),(MIN($D$305,H305)),0),
IF($D$10=0,
 IF(OR(MONTH(B306)=MONTH(EDATE($D$7,2)),MONTH(B306)=MONTH(EDATE($D$7,5)),MONTH(B306)=MONTH(EDATE($D$7,8)),MONTH(B306)=MONTH(EDATE($D$7,11))),(MIN($D$305,H305)),0)))</f>
        <v>0</v>
      </c>
      <c r="F306" s="336">
        <f ca="1">IF(E306="","",E306-G306)</f>
        <v>0</v>
      </c>
      <c r="G306" s="336">
        <f t="shared" ca="1" si="63"/>
        <v>0</v>
      </c>
      <c r="H306" s="336">
        <f t="shared" ca="1" si="64"/>
        <v>0</v>
      </c>
      <c r="I306" s="337">
        <f t="shared" ca="1" si="61"/>
        <v>0</v>
      </c>
    </row>
    <row r="307" spans="1:9">
      <c r="A307" s="335">
        <f t="shared" si="59"/>
        <v>290</v>
      </c>
      <c r="B307" s="340">
        <f t="shared" si="65"/>
        <v>55093</v>
      </c>
      <c r="C307" s="336">
        <f t="shared" ca="1" si="62"/>
        <v>0</v>
      </c>
      <c r="D307" s="335"/>
      <c r="E307" s="336">
        <f t="shared" si="68"/>
        <v>0</v>
      </c>
      <c r="F307" s="336">
        <f t="shared" ca="1" si="60"/>
        <v>0</v>
      </c>
      <c r="G307" s="336">
        <f t="shared" ca="1" si="63"/>
        <v>0</v>
      </c>
      <c r="H307" s="336">
        <f t="shared" ca="1" si="64"/>
        <v>0</v>
      </c>
      <c r="I307" s="337">
        <f t="shared" ca="1" si="61"/>
        <v>0</v>
      </c>
    </row>
    <row r="308" spans="1:9">
      <c r="A308" s="335">
        <f t="shared" si="59"/>
        <v>291</v>
      </c>
      <c r="B308" s="340">
        <f t="shared" si="65"/>
        <v>55123</v>
      </c>
      <c r="C308" s="336">
        <f t="shared" ca="1" si="62"/>
        <v>0</v>
      </c>
      <c r="D308" s="335"/>
      <c r="E308" s="336">
        <f t="shared" ca="1" si="68"/>
        <v>0</v>
      </c>
      <c r="F308" s="336">
        <f t="shared" ca="1" si="60"/>
        <v>0</v>
      </c>
      <c r="G308" s="336">
        <f t="shared" ca="1" si="63"/>
        <v>0</v>
      </c>
      <c r="H308" s="336">
        <f t="shared" ca="1" si="64"/>
        <v>0</v>
      </c>
      <c r="I308" s="337">
        <f t="shared" ca="1" si="61"/>
        <v>0</v>
      </c>
    </row>
    <row r="309" spans="1:9">
      <c r="A309" s="335">
        <f t="shared" si="59"/>
        <v>292</v>
      </c>
      <c r="B309" s="340">
        <f t="shared" si="65"/>
        <v>55154</v>
      </c>
      <c r="C309" s="336">
        <f t="shared" ca="1" si="62"/>
        <v>0</v>
      </c>
      <c r="D309" s="335"/>
      <c r="E309" s="336">
        <f t="shared" si="68"/>
        <v>0</v>
      </c>
      <c r="F309" s="336">
        <f t="shared" ca="1" si="60"/>
        <v>0</v>
      </c>
      <c r="G309" s="336">
        <f t="shared" ca="1" si="63"/>
        <v>0</v>
      </c>
      <c r="H309" s="336">
        <f t="shared" ca="1" si="64"/>
        <v>0</v>
      </c>
      <c r="I309" s="337">
        <f t="shared" ca="1" si="61"/>
        <v>0</v>
      </c>
    </row>
    <row r="310" spans="1:9">
      <c r="A310" s="335">
        <f t="shared" si="59"/>
        <v>293</v>
      </c>
      <c r="B310" s="340">
        <f t="shared" si="65"/>
        <v>55185</v>
      </c>
      <c r="C310" s="336">
        <f t="shared" ca="1" si="62"/>
        <v>0</v>
      </c>
      <c r="D310" s="335"/>
      <c r="E310" s="336">
        <f t="shared" si="68"/>
        <v>0</v>
      </c>
      <c r="F310" s="336">
        <f t="shared" ca="1" si="60"/>
        <v>0</v>
      </c>
      <c r="G310" s="336">
        <f t="shared" ca="1" si="63"/>
        <v>0</v>
      </c>
      <c r="H310" s="336">
        <f t="shared" ca="1" si="64"/>
        <v>0</v>
      </c>
      <c r="I310" s="337">
        <f t="shared" ca="1" si="61"/>
        <v>0</v>
      </c>
    </row>
    <row r="311" spans="1:9">
      <c r="A311" s="335">
        <f t="shared" si="59"/>
        <v>294</v>
      </c>
      <c r="B311" s="340">
        <f t="shared" si="65"/>
        <v>55213</v>
      </c>
      <c r="C311" s="336">
        <f t="shared" ca="1" si="62"/>
        <v>0</v>
      </c>
      <c r="D311" s="335"/>
      <c r="E311" s="336">
        <f t="shared" ca="1" si="68"/>
        <v>0</v>
      </c>
      <c r="F311" s="336">
        <f t="shared" ca="1" si="60"/>
        <v>0</v>
      </c>
      <c r="G311" s="336">
        <f t="shared" ca="1" si="63"/>
        <v>0</v>
      </c>
      <c r="H311" s="336">
        <f t="shared" ca="1" si="64"/>
        <v>0</v>
      </c>
      <c r="I311" s="337">
        <f t="shared" ca="1" si="61"/>
        <v>0</v>
      </c>
    </row>
    <row r="312" spans="1:9">
      <c r="A312" s="335">
        <f t="shared" si="59"/>
        <v>295</v>
      </c>
      <c r="B312" s="340">
        <f t="shared" si="65"/>
        <v>55244</v>
      </c>
      <c r="C312" s="336">
        <f t="shared" ca="1" si="62"/>
        <v>0</v>
      </c>
      <c r="D312" s="335"/>
      <c r="E312" s="336">
        <f t="shared" si="68"/>
        <v>0</v>
      </c>
      <c r="F312" s="336">
        <f t="shared" ca="1" si="60"/>
        <v>0</v>
      </c>
      <c r="G312" s="336">
        <f t="shared" ca="1" si="63"/>
        <v>0</v>
      </c>
      <c r="H312" s="336">
        <f t="shared" ca="1" si="64"/>
        <v>0</v>
      </c>
      <c r="I312" s="337">
        <f t="shared" ca="1" si="61"/>
        <v>0</v>
      </c>
    </row>
    <row r="313" spans="1:9">
      <c r="A313" s="335">
        <f t="shared" si="59"/>
        <v>296</v>
      </c>
      <c r="B313" s="340">
        <f t="shared" si="65"/>
        <v>55274</v>
      </c>
      <c r="C313" s="336">
        <f t="shared" ca="1" si="62"/>
        <v>0</v>
      </c>
      <c r="D313" s="335"/>
      <c r="E313" s="336">
        <f t="shared" si="68"/>
        <v>0</v>
      </c>
      <c r="F313" s="336">
        <f t="shared" ca="1" si="60"/>
        <v>0</v>
      </c>
      <c r="G313" s="336">
        <f t="shared" ca="1" si="63"/>
        <v>0</v>
      </c>
      <c r="H313" s="336">
        <f t="shared" ca="1" si="64"/>
        <v>0</v>
      </c>
      <c r="I313" s="337">
        <f t="shared" ca="1" si="61"/>
        <v>0</v>
      </c>
    </row>
    <row r="314" spans="1:9">
      <c r="A314" s="335">
        <f t="shared" si="59"/>
        <v>297</v>
      </c>
      <c r="B314" s="340">
        <f t="shared" si="65"/>
        <v>55305</v>
      </c>
      <c r="C314" s="336">
        <f t="shared" ca="1" si="62"/>
        <v>0</v>
      </c>
      <c r="D314" s="335"/>
      <c r="E314" s="336">
        <f t="shared" ca="1" si="68"/>
        <v>0</v>
      </c>
      <c r="F314" s="336">
        <f t="shared" ca="1" si="60"/>
        <v>0</v>
      </c>
      <c r="G314" s="336">
        <f t="shared" ca="1" si="63"/>
        <v>0</v>
      </c>
      <c r="H314" s="336">
        <f t="shared" ca="1" si="64"/>
        <v>0</v>
      </c>
      <c r="I314" s="337">
        <f t="shared" ca="1" si="61"/>
        <v>0</v>
      </c>
    </row>
    <row r="315" spans="1:9">
      <c r="A315" s="335">
        <f t="shared" si="59"/>
        <v>298</v>
      </c>
      <c r="B315" s="340">
        <f t="shared" si="65"/>
        <v>55335</v>
      </c>
      <c r="C315" s="336">
        <f t="shared" ca="1" si="62"/>
        <v>0</v>
      </c>
      <c r="D315" s="335"/>
      <c r="E315" s="336">
        <f t="shared" si="68"/>
        <v>0</v>
      </c>
      <c r="F315" s="336">
        <f t="shared" ca="1" si="60"/>
        <v>0</v>
      </c>
      <c r="G315" s="336">
        <f t="shared" ca="1" si="63"/>
        <v>0</v>
      </c>
      <c r="H315" s="336">
        <f t="shared" ca="1" si="64"/>
        <v>0</v>
      </c>
      <c r="I315" s="337">
        <f t="shared" ca="1" si="61"/>
        <v>0</v>
      </c>
    </row>
    <row r="316" spans="1:9">
      <c r="A316" s="335">
        <f t="shared" si="59"/>
        <v>299</v>
      </c>
      <c r="B316" s="340">
        <f t="shared" si="65"/>
        <v>55366</v>
      </c>
      <c r="C316" s="336">
        <f t="shared" ca="1" si="62"/>
        <v>0</v>
      </c>
      <c r="D316" s="335"/>
      <c r="E316" s="336">
        <f t="shared" si="68"/>
        <v>0</v>
      </c>
      <c r="F316" s="336">
        <f t="shared" ca="1" si="60"/>
        <v>0</v>
      </c>
      <c r="G316" s="336">
        <f t="shared" ca="1" si="63"/>
        <v>0</v>
      </c>
      <c r="H316" s="336">
        <f t="shared" ca="1" si="64"/>
        <v>0</v>
      </c>
      <c r="I316" s="337">
        <f t="shared" ca="1" si="61"/>
        <v>0</v>
      </c>
    </row>
    <row r="317" spans="1:9">
      <c r="A317" s="335">
        <f t="shared" si="59"/>
        <v>300</v>
      </c>
      <c r="B317" s="340">
        <f t="shared" si="65"/>
        <v>55397</v>
      </c>
      <c r="C317" s="336">
        <f t="shared" ca="1" si="62"/>
        <v>0</v>
      </c>
      <c r="D317" s="335"/>
      <c r="E317" s="336">
        <f t="shared" ca="1" si="68"/>
        <v>0</v>
      </c>
      <c r="F317" s="336">
        <f t="shared" ca="1" si="60"/>
        <v>0</v>
      </c>
      <c r="G317" s="336">
        <f t="shared" ca="1" si="63"/>
        <v>0</v>
      </c>
      <c r="H317" s="336">
        <f t="shared" ca="1" si="64"/>
        <v>0</v>
      </c>
      <c r="I317" s="337">
        <f t="shared" ca="1" si="61"/>
        <v>0</v>
      </c>
    </row>
    <row r="318" spans="1:9">
      <c r="A318" s="335">
        <f t="shared" si="59"/>
        <v>301</v>
      </c>
      <c r="B318" s="340">
        <f t="shared" si="65"/>
        <v>55427</v>
      </c>
      <c r="C318" s="336">
        <f t="shared" ref="C318:C381" ca="1" si="69">IF(H317=0,0,H317)</f>
        <v>0</v>
      </c>
      <c r="D318" s="335"/>
      <c r="E318" s="336">
        <f t="shared" ref="E318:E381" si="70">IF($D$10=1,
 IF(OR(MONTH(B318)=MONTH(EDATE($D$7,0)),MONTH(B318)=MONTH(EDATE($D$7,3)),MONTH(B318)=MONTH(EDATE($D$7,6)),MONTH(B318)=MONTH(EDATE($D$7,9))),(MIN($D$305,H317)),0),
IF($D$10=0,
 IF(OR(MONTH(B318)=MONTH(EDATE($D$7,2)),MONTH(B318)=MONTH(EDATE($D$7,5)),MONTH(B318)=MONTH(EDATE($D$7,8)),MONTH(B318)=MONTH(EDATE($D$7,11))),(MIN($D$305,H317)),0)))</f>
        <v>0</v>
      </c>
      <c r="F318" s="336">
        <f t="shared" ref="F318:F381" ca="1" si="71">IF(E318="","",E318-G318)</f>
        <v>0</v>
      </c>
      <c r="G318" s="336">
        <f t="shared" ref="G318:G381" ca="1" si="72">ROUND((C318-E318)*$D$5,3)</f>
        <v>0</v>
      </c>
      <c r="H318" s="336">
        <f t="shared" ref="H318:H381" ca="1" si="73">IF(E318="","",ROUND(H317-F318,4))</f>
        <v>0</v>
      </c>
      <c r="I318" s="337">
        <f t="shared" ref="I318:I381" ca="1" si="74">ROUND((D318-H318),0)</f>
        <v>0</v>
      </c>
    </row>
    <row r="319" spans="1:9">
      <c r="A319" s="335">
        <f t="shared" si="59"/>
        <v>302</v>
      </c>
      <c r="B319" s="340">
        <f t="shared" si="65"/>
        <v>55458</v>
      </c>
      <c r="C319" s="336">
        <f t="shared" ca="1" si="69"/>
        <v>0</v>
      </c>
      <c r="D319" s="335"/>
      <c r="E319" s="336">
        <f t="shared" si="70"/>
        <v>0</v>
      </c>
      <c r="F319" s="336">
        <f t="shared" ca="1" si="71"/>
        <v>0</v>
      </c>
      <c r="G319" s="336">
        <f t="shared" ca="1" si="72"/>
        <v>0</v>
      </c>
      <c r="H319" s="336">
        <f t="shared" ca="1" si="73"/>
        <v>0</v>
      </c>
      <c r="I319" s="337">
        <f t="shared" ca="1" si="74"/>
        <v>0</v>
      </c>
    </row>
    <row r="320" spans="1:9">
      <c r="A320" s="335">
        <f t="shared" si="59"/>
        <v>303</v>
      </c>
      <c r="B320" s="340">
        <f t="shared" si="65"/>
        <v>55488</v>
      </c>
      <c r="C320" s="336">
        <f t="shared" ca="1" si="69"/>
        <v>0</v>
      </c>
      <c r="D320" s="335"/>
      <c r="E320" s="336">
        <f t="shared" ca="1" si="70"/>
        <v>0</v>
      </c>
      <c r="F320" s="336">
        <f t="shared" ca="1" si="71"/>
        <v>0</v>
      </c>
      <c r="G320" s="336">
        <f t="shared" ca="1" si="72"/>
        <v>0</v>
      </c>
      <c r="H320" s="336">
        <f t="shared" ca="1" si="73"/>
        <v>0</v>
      </c>
      <c r="I320" s="337">
        <f t="shared" ca="1" si="74"/>
        <v>0</v>
      </c>
    </row>
    <row r="321" spans="1:9">
      <c r="A321" s="335">
        <f t="shared" si="59"/>
        <v>304</v>
      </c>
      <c r="B321" s="340">
        <f t="shared" si="65"/>
        <v>55519</v>
      </c>
      <c r="C321" s="336">
        <f t="shared" ca="1" si="69"/>
        <v>0</v>
      </c>
      <c r="D321" s="335"/>
      <c r="E321" s="336">
        <f t="shared" si="70"/>
        <v>0</v>
      </c>
      <c r="F321" s="336">
        <f t="shared" ca="1" si="71"/>
        <v>0</v>
      </c>
      <c r="G321" s="336">
        <f t="shared" ca="1" si="72"/>
        <v>0</v>
      </c>
      <c r="H321" s="336">
        <f t="shared" ca="1" si="73"/>
        <v>0</v>
      </c>
      <c r="I321" s="337">
        <f t="shared" ca="1" si="74"/>
        <v>0</v>
      </c>
    </row>
    <row r="322" spans="1:9">
      <c r="A322" s="335">
        <f t="shared" si="59"/>
        <v>305</v>
      </c>
      <c r="B322" s="340">
        <f t="shared" si="65"/>
        <v>55550</v>
      </c>
      <c r="C322" s="336">
        <f t="shared" ca="1" si="69"/>
        <v>0</v>
      </c>
      <c r="D322" s="335"/>
      <c r="E322" s="336">
        <f t="shared" si="70"/>
        <v>0</v>
      </c>
      <c r="F322" s="336">
        <f t="shared" ca="1" si="71"/>
        <v>0</v>
      </c>
      <c r="G322" s="336">
        <f t="shared" ca="1" si="72"/>
        <v>0</v>
      </c>
      <c r="H322" s="336">
        <f t="shared" ca="1" si="73"/>
        <v>0</v>
      </c>
      <c r="I322" s="337">
        <f t="shared" ca="1" si="74"/>
        <v>0</v>
      </c>
    </row>
    <row r="323" spans="1:9">
      <c r="A323" s="335">
        <f t="shared" si="59"/>
        <v>306</v>
      </c>
      <c r="B323" s="340">
        <f t="shared" si="65"/>
        <v>55579</v>
      </c>
      <c r="C323" s="336">
        <f t="shared" ca="1" si="69"/>
        <v>0</v>
      </c>
      <c r="D323" s="335"/>
      <c r="E323" s="336">
        <f t="shared" ca="1" si="70"/>
        <v>0</v>
      </c>
      <c r="F323" s="336">
        <f t="shared" ca="1" si="71"/>
        <v>0</v>
      </c>
      <c r="G323" s="336">
        <f t="shared" ca="1" si="72"/>
        <v>0</v>
      </c>
      <c r="H323" s="336">
        <f t="shared" ca="1" si="73"/>
        <v>0</v>
      </c>
      <c r="I323" s="337">
        <f t="shared" ca="1" si="74"/>
        <v>0</v>
      </c>
    </row>
    <row r="324" spans="1:9">
      <c r="A324" s="335">
        <f t="shared" si="59"/>
        <v>307</v>
      </c>
      <c r="B324" s="340">
        <f t="shared" si="65"/>
        <v>55610</v>
      </c>
      <c r="C324" s="336">
        <f t="shared" ca="1" si="69"/>
        <v>0</v>
      </c>
      <c r="D324" s="335"/>
      <c r="E324" s="336">
        <f t="shared" si="70"/>
        <v>0</v>
      </c>
      <c r="F324" s="336">
        <f t="shared" ca="1" si="71"/>
        <v>0</v>
      </c>
      <c r="G324" s="336">
        <f t="shared" ca="1" si="72"/>
        <v>0</v>
      </c>
      <c r="H324" s="336">
        <f t="shared" ca="1" si="73"/>
        <v>0</v>
      </c>
      <c r="I324" s="337">
        <f t="shared" ca="1" si="74"/>
        <v>0</v>
      </c>
    </row>
    <row r="325" spans="1:9">
      <c r="A325" s="335">
        <f t="shared" si="59"/>
        <v>308</v>
      </c>
      <c r="B325" s="340">
        <f t="shared" si="65"/>
        <v>55640</v>
      </c>
      <c r="C325" s="336">
        <f t="shared" ca="1" si="69"/>
        <v>0</v>
      </c>
      <c r="D325" s="335"/>
      <c r="E325" s="336">
        <f t="shared" si="70"/>
        <v>0</v>
      </c>
      <c r="F325" s="336">
        <f t="shared" ca="1" si="71"/>
        <v>0</v>
      </c>
      <c r="G325" s="336">
        <f t="shared" ca="1" si="72"/>
        <v>0</v>
      </c>
      <c r="H325" s="336">
        <f t="shared" ca="1" si="73"/>
        <v>0</v>
      </c>
      <c r="I325" s="337">
        <f t="shared" ca="1" si="74"/>
        <v>0</v>
      </c>
    </row>
    <row r="326" spans="1:9">
      <c r="A326" s="335">
        <f t="shared" si="59"/>
        <v>309</v>
      </c>
      <c r="B326" s="340">
        <f t="shared" si="65"/>
        <v>55671</v>
      </c>
      <c r="C326" s="336">
        <f t="shared" ca="1" si="69"/>
        <v>0</v>
      </c>
      <c r="D326" s="335"/>
      <c r="E326" s="336">
        <f t="shared" ca="1" si="70"/>
        <v>0</v>
      </c>
      <c r="F326" s="336">
        <f t="shared" ca="1" si="71"/>
        <v>0</v>
      </c>
      <c r="G326" s="336">
        <f t="shared" ca="1" si="72"/>
        <v>0</v>
      </c>
      <c r="H326" s="336">
        <f t="shared" ca="1" si="73"/>
        <v>0</v>
      </c>
      <c r="I326" s="337">
        <f t="shared" ca="1" si="74"/>
        <v>0</v>
      </c>
    </row>
    <row r="327" spans="1:9">
      <c r="A327" s="335">
        <f t="shared" si="59"/>
        <v>310</v>
      </c>
      <c r="B327" s="340">
        <f t="shared" si="65"/>
        <v>55701</v>
      </c>
      <c r="C327" s="336">
        <f t="shared" ca="1" si="69"/>
        <v>0</v>
      </c>
      <c r="D327" s="335"/>
      <c r="E327" s="336">
        <f t="shared" si="70"/>
        <v>0</v>
      </c>
      <c r="F327" s="336">
        <f t="shared" ca="1" si="71"/>
        <v>0</v>
      </c>
      <c r="G327" s="336">
        <f t="shared" ca="1" si="72"/>
        <v>0</v>
      </c>
      <c r="H327" s="336">
        <f t="shared" ca="1" si="73"/>
        <v>0</v>
      </c>
      <c r="I327" s="337">
        <f t="shared" ca="1" si="74"/>
        <v>0</v>
      </c>
    </row>
    <row r="328" spans="1:9">
      <c r="A328" s="335">
        <f t="shared" si="59"/>
        <v>311</v>
      </c>
      <c r="B328" s="340">
        <f t="shared" si="65"/>
        <v>55732</v>
      </c>
      <c r="C328" s="336">
        <f t="shared" ca="1" si="69"/>
        <v>0</v>
      </c>
      <c r="D328" s="335"/>
      <c r="E328" s="336">
        <f t="shared" si="70"/>
        <v>0</v>
      </c>
      <c r="F328" s="336">
        <f t="shared" ca="1" si="71"/>
        <v>0</v>
      </c>
      <c r="G328" s="336">
        <f t="shared" ca="1" si="72"/>
        <v>0</v>
      </c>
      <c r="H328" s="336">
        <f t="shared" ca="1" si="73"/>
        <v>0</v>
      </c>
      <c r="I328" s="337">
        <f t="shared" ca="1" si="74"/>
        <v>0</v>
      </c>
    </row>
    <row r="329" spans="1:9">
      <c r="A329" s="335">
        <f t="shared" si="59"/>
        <v>312</v>
      </c>
      <c r="B329" s="340">
        <f t="shared" si="65"/>
        <v>55763</v>
      </c>
      <c r="C329" s="336">
        <f t="shared" ca="1" si="69"/>
        <v>0</v>
      </c>
      <c r="D329" s="335"/>
      <c r="E329" s="336">
        <f t="shared" ca="1" si="70"/>
        <v>0</v>
      </c>
      <c r="F329" s="336">
        <f t="shared" ca="1" si="71"/>
        <v>0</v>
      </c>
      <c r="G329" s="336">
        <f t="shared" ca="1" si="72"/>
        <v>0</v>
      </c>
      <c r="H329" s="336">
        <f t="shared" ca="1" si="73"/>
        <v>0</v>
      </c>
      <c r="I329" s="337">
        <f t="shared" ca="1" si="74"/>
        <v>0</v>
      </c>
    </row>
    <row r="330" spans="1:9">
      <c r="A330" s="335">
        <f t="shared" si="59"/>
        <v>313</v>
      </c>
      <c r="B330" s="340">
        <f t="shared" si="65"/>
        <v>55793</v>
      </c>
      <c r="C330" s="336">
        <f t="shared" ca="1" si="69"/>
        <v>0</v>
      </c>
      <c r="D330" s="335"/>
      <c r="E330" s="336">
        <f t="shared" si="70"/>
        <v>0</v>
      </c>
      <c r="F330" s="336">
        <f t="shared" ca="1" si="71"/>
        <v>0</v>
      </c>
      <c r="G330" s="336">
        <f t="shared" ca="1" si="72"/>
        <v>0</v>
      </c>
      <c r="H330" s="336">
        <f t="shared" ca="1" si="73"/>
        <v>0</v>
      </c>
      <c r="I330" s="337">
        <f t="shared" ca="1" si="74"/>
        <v>0</v>
      </c>
    </row>
    <row r="331" spans="1:9">
      <c r="A331" s="335">
        <f t="shared" si="59"/>
        <v>314</v>
      </c>
      <c r="B331" s="340">
        <f t="shared" si="65"/>
        <v>55824</v>
      </c>
      <c r="C331" s="336">
        <f t="shared" ca="1" si="69"/>
        <v>0</v>
      </c>
      <c r="D331" s="335"/>
      <c r="E331" s="336">
        <f t="shared" si="70"/>
        <v>0</v>
      </c>
      <c r="F331" s="336">
        <f t="shared" ca="1" si="71"/>
        <v>0</v>
      </c>
      <c r="G331" s="336">
        <f t="shared" ca="1" si="72"/>
        <v>0</v>
      </c>
      <c r="H331" s="336">
        <f t="shared" ca="1" si="73"/>
        <v>0</v>
      </c>
      <c r="I331" s="337">
        <f t="shared" ca="1" si="74"/>
        <v>0</v>
      </c>
    </row>
    <row r="332" spans="1:9">
      <c r="A332" s="335">
        <f t="shared" si="59"/>
        <v>315</v>
      </c>
      <c r="B332" s="340">
        <f t="shared" si="65"/>
        <v>55854</v>
      </c>
      <c r="C332" s="336">
        <f t="shared" ca="1" si="69"/>
        <v>0</v>
      </c>
      <c r="D332" s="335"/>
      <c r="E332" s="336">
        <f t="shared" ca="1" si="70"/>
        <v>0</v>
      </c>
      <c r="F332" s="336">
        <f t="shared" ca="1" si="71"/>
        <v>0</v>
      </c>
      <c r="G332" s="336">
        <f t="shared" ca="1" si="72"/>
        <v>0</v>
      </c>
      <c r="H332" s="336">
        <f t="shared" ca="1" si="73"/>
        <v>0</v>
      </c>
      <c r="I332" s="337">
        <f t="shared" ca="1" si="74"/>
        <v>0</v>
      </c>
    </row>
    <row r="333" spans="1:9">
      <c r="A333" s="335">
        <f t="shared" si="59"/>
        <v>316</v>
      </c>
      <c r="B333" s="340">
        <f t="shared" si="65"/>
        <v>55885</v>
      </c>
      <c r="C333" s="336">
        <f t="shared" ca="1" si="69"/>
        <v>0</v>
      </c>
      <c r="D333" s="335"/>
      <c r="E333" s="336">
        <f t="shared" si="70"/>
        <v>0</v>
      </c>
      <c r="F333" s="336">
        <f t="shared" ca="1" si="71"/>
        <v>0</v>
      </c>
      <c r="G333" s="336">
        <f t="shared" ca="1" si="72"/>
        <v>0</v>
      </c>
      <c r="H333" s="336">
        <f t="shared" ca="1" si="73"/>
        <v>0</v>
      </c>
      <c r="I333" s="337">
        <f t="shared" ca="1" si="74"/>
        <v>0</v>
      </c>
    </row>
    <row r="334" spans="1:9">
      <c r="A334" s="335">
        <f t="shared" si="59"/>
        <v>317</v>
      </c>
      <c r="B334" s="340">
        <f t="shared" si="65"/>
        <v>55916</v>
      </c>
      <c r="C334" s="336">
        <f t="shared" ca="1" si="69"/>
        <v>0</v>
      </c>
      <c r="D334" s="335"/>
      <c r="E334" s="336">
        <f t="shared" si="70"/>
        <v>0</v>
      </c>
      <c r="F334" s="336">
        <f t="shared" ca="1" si="71"/>
        <v>0</v>
      </c>
      <c r="G334" s="336">
        <f t="shared" ca="1" si="72"/>
        <v>0</v>
      </c>
      <c r="H334" s="336">
        <f t="shared" ca="1" si="73"/>
        <v>0</v>
      </c>
      <c r="I334" s="337">
        <f t="shared" ca="1" si="74"/>
        <v>0</v>
      </c>
    </row>
    <row r="335" spans="1:9">
      <c r="A335" s="335">
        <f t="shared" si="59"/>
        <v>318</v>
      </c>
      <c r="B335" s="340">
        <f t="shared" si="65"/>
        <v>55944</v>
      </c>
      <c r="C335" s="336">
        <f t="shared" ca="1" si="69"/>
        <v>0</v>
      </c>
      <c r="D335" s="335"/>
      <c r="E335" s="336">
        <f t="shared" ca="1" si="70"/>
        <v>0</v>
      </c>
      <c r="F335" s="336">
        <f t="shared" ca="1" si="71"/>
        <v>0</v>
      </c>
      <c r="G335" s="336">
        <f t="shared" ca="1" si="72"/>
        <v>0</v>
      </c>
      <c r="H335" s="336">
        <f t="shared" ca="1" si="73"/>
        <v>0</v>
      </c>
      <c r="I335" s="337">
        <f t="shared" ca="1" si="74"/>
        <v>0</v>
      </c>
    </row>
    <row r="336" spans="1:9">
      <c r="A336" s="335">
        <f t="shared" si="59"/>
        <v>319</v>
      </c>
      <c r="B336" s="340">
        <f t="shared" si="65"/>
        <v>55975</v>
      </c>
      <c r="C336" s="336">
        <f t="shared" ca="1" si="69"/>
        <v>0</v>
      </c>
      <c r="D336" s="335"/>
      <c r="E336" s="336">
        <f t="shared" si="70"/>
        <v>0</v>
      </c>
      <c r="F336" s="336">
        <f t="shared" ca="1" si="71"/>
        <v>0</v>
      </c>
      <c r="G336" s="336">
        <f t="shared" ca="1" si="72"/>
        <v>0</v>
      </c>
      <c r="H336" s="336">
        <f t="shared" ca="1" si="73"/>
        <v>0</v>
      </c>
      <c r="I336" s="337">
        <f t="shared" ca="1" si="74"/>
        <v>0</v>
      </c>
    </row>
    <row r="337" spans="1:9">
      <c r="A337" s="335">
        <f t="shared" si="59"/>
        <v>320</v>
      </c>
      <c r="B337" s="340">
        <f t="shared" si="65"/>
        <v>56005</v>
      </c>
      <c r="C337" s="336">
        <f t="shared" ca="1" si="69"/>
        <v>0</v>
      </c>
      <c r="D337" s="335"/>
      <c r="E337" s="336">
        <f t="shared" si="70"/>
        <v>0</v>
      </c>
      <c r="F337" s="336">
        <f t="shared" ca="1" si="71"/>
        <v>0</v>
      </c>
      <c r="G337" s="336">
        <f t="shared" ca="1" si="72"/>
        <v>0</v>
      </c>
      <c r="H337" s="336">
        <f t="shared" ca="1" si="73"/>
        <v>0</v>
      </c>
      <c r="I337" s="337">
        <f t="shared" ca="1" si="74"/>
        <v>0</v>
      </c>
    </row>
    <row r="338" spans="1:9">
      <c r="A338" s="335">
        <f t="shared" ref="A338:A401" si="75">IF(A337="","",IF(A337=$D$6,"",A337+1))</f>
        <v>321</v>
      </c>
      <c r="B338" s="340">
        <f t="shared" si="65"/>
        <v>56036</v>
      </c>
      <c r="C338" s="336">
        <f t="shared" ca="1" si="69"/>
        <v>0</v>
      </c>
      <c r="D338" s="335"/>
      <c r="E338" s="336">
        <f t="shared" ca="1" si="70"/>
        <v>0</v>
      </c>
      <c r="F338" s="336">
        <f t="shared" ca="1" si="71"/>
        <v>0</v>
      </c>
      <c r="G338" s="336">
        <f t="shared" ca="1" si="72"/>
        <v>0</v>
      </c>
      <c r="H338" s="336">
        <f t="shared" ca="1" si="73"/>
        <v>0</v>
      </c>
      <c r="I338" s="337">
        <f t="shared" ca="1" si="74"/>
        <v>0</v>
      </c>
    </row>
    <row r="339" spans="1:9">
      <c r="A339" s="335">
        <f t="shared" si="75"/>
        <v>322</v>
      </c>
      <c r="B339" s="340">
        <f t="shared" si="65"/>
        <v>56066</v>
      </c>
      <c r="C339" s="336">
        <f t="shared" ca="1" si="69"/>
        <v>0</v>
      </c>
      <c r="D339" s="335"/>
      <c r="E339" s="336">
        <f t="shared" si="70"/>
        <v>0</v>
      </c>
      <c r="F339" s="336">
        <f t="shared" ca="1" si="71"/>
        <v>0</v>
      </c>
      <c r="G339" s="336">
        <f t="shared" ca="1" si="72"/>
        <v>0</v>
      </c>
      <c r="H339" s="336">
        <f t="shared" ca="1" si="73"/>
        <v>0</v>
      </c>
      <c r="I339" s="337">
        <f t="shared" ca="1" si="74"/>
        <v>0</v>
      </c>
    </row>
    <row r="340" spans="1:9">
      <c r="A340" s="335">
        <f t="shared" si="75"/>
        <v>323</v>
      </c>
      <c r="B340" s="340">
        <f t="shared" ref="B340:B403" si="76">DATE(YEAR(B339),MONTH(B339)+1,1)</f>
        <v>56097</v>
      </c>
      <c r="C340" s="336">
        <f t="shared" ca="1" si="69"/>
        <v>0</v>
      </c>
      <c r="D340" s="335"/>
      <c r="E340" s="336">
        <f t="shared" si="70"/>
        <v>0</v>
      </c>
      <c r="F340" s="336">
        <f t="shared" ca="1" si="71"/>
        <v>0</v>
      </c>
      <c r="G340" s="336">
        <f t="shared" ca="1" si="72"/>
        <v>0</v>
      </c>
      <c r="H340" s="336">
        <f t="shared" ca="1" si="73"/>
        <v>0</v>
      </c>
      <c r="I340" s="337">
        <f t="shared" ca="1" si="74"/>
        <v>0</v>
      </c>
    </row>
    <row r="341" spans="1:9">
      <c r="A341" s="335">
        <f t="shared" si="75"/>
        <v>324</v>
      </c>
      <c r="B341" s="340">
        <f t="shared" si="76"/>
        <v>56128</v>
      </c>
      <c r="C341" s="336">
        <f t="shared" ca="1" si="69"/>
        <v>0</v>
      </c>
      <c r="D341" s="335"/>
      <c r="E341" s="336">
        <f t="shared" ca="1" si="70"/>
        <v>0</v>
      </c>
      <c r="F341" s="336">
        <f t="shared" ca="1" si="71"/>
        <v>0</v>
      </c>
      <c r="G341" s="336">
        <f t="shared" ca="1" si="72"/>
        <v>0</v>
      </c>
      <c r="H341" s="336">
        <f t="shared" ca="1" si="73"/>
        <v>0</v>
      </c>
      <c r="I341" s="337">
        <f t="shared" ca="1" si="74"/>
        <v>0</v>
      </c>
    </row>
    <row r="342" spans="1:9">
      <c r="A342" s="335">
        <f t="shared" si="75"/>
        <v>325</v>
      </c>
      <c r="B342" s="340">
        <f t="shared" si="76"/>
        <v>56158</v>
      </c>
      <c r="C342" s="336">
        <f t="shared" ca="1" si="69"/>
        <v>0</v>
      </c>
      <c r="D342" s="335"/>
      <c r="E342" s="336">
        <f t="shared" si="70"/>
        <v>0</v>
      </c>
      <c r="F342" s="336">
        <f t="shared" ca="1" si="71"/>
        <v>0</v>
      </c>
      <c r="G342" s="336">
        <f t="shared" ca="1" si="72"/>
        <v>0</v>
      </c>
      <c r="H342" s="336">
        <f t="shared" ca="1" si="73"/>
        <v>0</v>
      </c>
      <c r="I342" s="337">
        <f t="shared" ca="1" si="74"/>
        <v>0</v>
      </c>
    </row>
    <row r="343" spans="1:9">
      <c r="A343" s="335">
        <f t="shared" si="75"/>
        <v>326</v>
      </c>
      <c r="B343" s="340">
        <f t="shared" si="76"/>
        <v>56189</v>
      </c>
      <c r="C343" s="336">
        <f t="shared" ca="1" si="69"/>
        <v>0</v>
      </c>
      <c r="D343" s="335"/>
      <c r="E343" s="336">
        <f t="shared" si="70"/>
        <v>0</v>
      </c>
      <c r="F343" s="336">
        <f t="shared" ca="1" si="71"/>
        <v>0</v>
      </c>
      <c r="G343" s="336">
        <f t="shared" ca="1" si="72"/>
        <v>0</v>
      </c>
      <c r="H343" s="336">
        <f t="shared" ca="1" si="73"/>
        <v>0</v>
      </c>
      <c r="I343" s="337">
        <f t="shared" ca="1" si="74"/>
        <v>0</v>
      </c>
    </row>
    <row r="344" spans="1:9">
      <c r="A344" s="335">
        <f t="shared" si="75"/>
        <v>327</v>
      </c>
      <c r="B344" s="340">
        <f t="shared" si="76"/>
        <v>56219</v>
      </c>
      <c r="C344" s="336">
        <f t="shared" ca="1" si="69"/>
        <v>0</v>
      </c>
      <c r="D344" s="335"/>
      <c r="E344" s="336">
        <f t="shared" ca="1" si="70"/>
        <v>0</v>
      </c>
      <c r="F344" s="336">
        <f t="shared" ca="1" si="71"/>
        <v>0</v>
      </c>
      <c r="G344" s="336">
        <f t="shared" ca="1" si="72"/>
        <v>0</v>
      </c>
      <c r="H344" s="336">
        <f t="shared" ca="1" si="73"/>
        <v>0</v>
      </c>
      <c r="I344" s="337">
        <f t="shared" ca="1" si="74"/>
        <v>0</v>
      </c>
    </row>
    <row r="345" spans="1:9">
      <c r="A345" s="335">
        <f t="shared" si="75"/>
        <v>328</v>
      </c>
      <c r="B345" s="340">
        <f t="shared" si="76"/>
        <v>56250</v>
      </c>
      <c r="C345" s="336">
        <f t="shared" ca="1" si="69"/>
        <v>0</v>
      </c>
      <c r="D345" s="335"/>
      <c r="E345" s="336">
        <f t="shared" si="70"/>
        <v>0</v>
      </c>
      <c r="F345" s="336">
        <f t="shared" ca="1" si="71"/>
        <v>0</v>
      </c>
      <c r="G345" s="336">
        <f t="shared" ca="1" si="72"/>
        <v>0</v>
      </c>
      <c r="H345" s="336">
        <f t="shared" ca="1" si="73"/>
        <v>0</v>
      </c>
      <c r="I345" s="337">
        <f t="shared" ca="1" si="74"/>
        <v>0</v>
      </c>
    </row>
    <row r="346" spans="1:9">
      <c r="A346" s="335">
        <f t="shared" si="75"/>
        <v>329</v>
      </c>
      <c r="B346" s="340">
        <f t="shared" si="76"/>
        <v>56281</v>
      </c>
      <c r="C346" s="336">
        <f t="shared" ca="1" si="69"/>
        <v>0</v>
      </c>
      <c r="D346" s="335"/>
      <c r="E346" s="336">
        <f t="shared" si="70"/>
        <v>0</v>
      </c>
      <c r="F346" s="336">
        <f t="shared" ca="1" si="71"/>
        <v>0</v>
      </c>
      <c r="G346" s="336">
        <f t="shared" ca="1" si="72"/>
        <v>0</v>
      </c>
      <c r="H346" s="336">
        <f t="shared" ca="1" si="73"/>
        <v>0</v>
      </c>
      <c r="I346" s="337">
        <f t="shared" ca="1" si="74"/>
        <v>0</v>
      </c>
    </row>
    <row r="347" spans="1:9">
      <c r="A347" s="335">
        <f t="shared" si="75"/>
        <v>330</v>
      </c>
      <c r="B347" s="340">
        <f t="shared" si="76"/>
        <v>56309</v>
      </c>
      <c r="C347" s="336">
        <f t="shared" ca="1" si="69"/>
        <v>0</v>
      </c>
      <c r="D347" s="335"/>
      <c r="E347" s="336">
        <f t="shared" ca="1" si="70"/>
        <v>0</v>
      </c>
      <c r="F347" s="336">
        <f t="shared" ca="1" si="71"/>
        <v>0</v>
      </c>
      <c r="G347" s="336">
        <f t="shared" ca="1" si="72"/>
        <v>0</v>
      </c>
      <c r="H347" s="336">
        <f t="shared" ca="1" si="73"/>
        <v>0</v>
      </c>
      <c r="I347" s="337">
        <f t="shared" ca="1" si="74"/>
        <v>0</v>
      </c>
    </row>
    <row r="348" spans="1:9">
      <c r="A348" s="335">
        <f t="shared" si="75"/>
        <v>331</v>
      </c>
      <c r="B348" s="340">
        <f t="shared" si="76"/>
        <v>56340</v>
      </c>
      <c r="C348" s="336">
        <f t="shared" ca="1" si="69"/>
        <v>0</v>
      </c>
      <c r="D348" s="335"/>
      <c r="E348" s="336">
        <f t="shared" si="70"/>
        <v>0</v>
      </c>
      <c r="F348" s="336">
        <f t="shared" ca="1" si="71"/>
        <v>0</v>
      </c>
      <c r="G348" s="336">
        <f t="shared" ca="1" si="72"/>
        <v>0</v>
      </c>
      <c r="H348" s="336">
        <f t="shared" ca="1" si="73"/>
        <v>0</v>
      </c>
      <c r="I348" s="337">
        <f t="shared" ca="1" si="74"/>
        <v>0</v>
      </c>
    </row>
    <row r="349" spans="1:9">
      <c r="A349" s="335">
        <f t="shared" si="75"/>
        <v>332</v>
      </c>
      <c r="B349" s="340">
        <f t="shared" si="76"/>
        <v>56370</v>
      </c>
      <c r="C349" s="336">
        <f t="shared" ca="1" si="69"/>
        <v>0</v>
      </c>
      <c r="D349" s="335"/>
      <c r="E349" s="336">
        <f t="shared" si="70"/>
        <v>0</v>
      </c>
      <c r="F349" s="336">
        <f t="shared" ca="1" si="71"/>
        <v>0</v>
      </c>
      <c r="G349" s="336">
        <f t="shared" ca="1" si="72"/>
        <v>0</v>
      </c>
      <c r="H349" s="336">
        <f t="shared" ca="1" si="73"/>
        <v>0</v>
      </c>
      <c r="I349" s="337">
        <f t="shared" ca="1" si="74"/>
        <v>0</v>
      </c>
    </row>
    <row r="350" spans="1:9">
      <c r="A350" s="335">
        <f t="shared" si="75"/>
        <v>333</v>
      </c>
      <c r="B350" s="340">
        <f t="shared" si="76"/>
        <v>56401</v>
      </c>
      <c r="C350" s="336">
        <f t="shared" ca="1" si="69"/>
        <v>0</v>
      </c>
      <c r="D350" s="335"/>
      <c r="E350" s="336">
        <f t="shared" ca="1" si="70"/>
        <v>0</v>
      </c>
      <c r="F350" s="336">
        <f t="shared" ca="1" si="71"/>
        <v>0</v>
      </c>
      <c r="G350" s="336">
        <f t="shared" ca="1" si="72"/>
        <v>0</v>
      </c>
      <c r="H350" s="336">
        <f t="shared" ca="1" si="73"/>
        <v>0</v>
      </c>
      <c r="I350" s="337">
        <f t="shared" ca="1" si="74"/>
        <v>0</v>
      </c>
    </row>
    <row r="351" spans="1:9">
      <c r="A351" s="335">
        <f t="shared" si="75"/>
        <v>334</v>
      </c>
      <c r="B351" s="340">
        <f t="shared" si="76"/>
        <v>56431</v>
      </c>
      <c r="C351" s="336">
        <f t="shared" ca="1" si="69"/>
        <v>0</v>
      </c>
      <c r="D351" s="335"/>
      <c r="E351" s="336">
        <f t="shared" si="70"/>
        <v>0</v>
      </c>
      <c r="F351" s="336">
        <f t="shared" ca="1" si="71"/>
        <v>0</v>
      </c>
      <c r="G351" s="336">
        <f t="shared" ca="1" si="72"/>
        <v>0</v>
      </c>
      <c r="H351" s="336">
        <f t="shared" ca="1" si="73"/>
        <v>0</v>
      </c>
      <c r="I351" s="337">
        <f t="shared" ca="1" si="74"/>
        <v>0</v>
      </c>
    </row>
    <row r="352" spans="1:9">
      <c r="A352" s="335">
        <f t="shared" si="75"/>
        <v>335</v>
      </c>
      <c r="B352" s="340">
        <f t="shared" si="76"/>
        <v>56462</v>
      </c>
      <c r="C352" s="336">
        <f t="shared" ca="1" si="69"/>
        <v>0</v>
      </c>
      <c r="D352" s="335"/>
      <c r="E352" s="336">
        <f t="shared" si="70"/>
        <v>0</v>
      </c>
      <c r="F352" s="336">
        <f t="shared" ca="1" si="71"/>
        <v>0</v>
      </c>
      <c r="G352" s="336">
        <f t="shared" ca="1" si="72"/>
        <v>0</v>
      </c>
      <c r="H352" s="336">
        <f t="shared" ca="1" si="73"/>
        <v>0</v>
      </c>
      <c r="I352" s="337">
        <f t="shared" ca="1" si="74"/>
        <v>0</v>
      </c>
    </row>
    <row r="353" spans="1:9">
      <c r="A353" s="335">
        <f t="shared" si="75"/>
        <v>336</v>
      </c>
      <c r="B353" s="340">
        <f t="shared" si="76"/>
        <v>56493</v>
      </c>
      <c r="C353" s="336">
        <f t="shared" ca="1" si="69"/>
        <v>0</v>
      </c>
      <c r="D353" s="335"/>
      <c r="E353" s="336">
        <f t="shared" ca="1" si="70"/>
        <v>0</v>
      </c>
      <c r="F353" s="336">
        <f t="shared" ca="1" si="71"/>
        <v>0</v>
      </c>
      <c r="G353" s="336">
        <f t="shared" ca="1" si="72"/>
        <v>0</v>
      </c>
      <c r="H353" s="336">
        <f t="shared" ca="1" si="73"/>
        <v>0</v>
      </c>
      <c r="I353" s="337">
        <f t="shared" ca="1" si="74"/>
        <v>0</v>
      </c>
    </row>
    <row r="354" spans="1:9">
      <c r="A354" s="335">
        <f t="shared" si="75"/>
        <v>337</v>
      </c>
      <c r="B354" s="340">
        <f t="shared" si="76"/>
        <v>56523</v>
      </c>
      <c r="C354" s="336">
        <f t="shared" ca="1" si="69"/>
        <v>0</v>
      </c>
      <c r="D354" s="335"/>
      <c r="E354" s="336">
        <f t="shared" si="70"/>
        <v>0</v>
      </c>
      <c r="F354" s="336">
        <f t="shared" ca="1" si="71"/>
        <v>0</v>
      </c>
      <c r="G354" s="336">
        <f t="shared" ca="1" si="72"/>
        <v>0</v>
      </c>
      <c r="H354" s="336">
        <f t="shared" ca="1" si="73"/>
        <v>0</v>
      </c>
      <c r="I354" s="337">
        <f t="shared" ca="1" si="74"/>
        <v>0</v>
      </c>
    </row>
    <row r="355" spans="1:9">
      <c r="A355" s="335">
        <f t="shared" si="75"/>
        <v>338</v>
      </c>
      <c r="B355" s="340">
        <f t="shared" si="76"/>
        <v>56554</v>
      </c>
      <c r="C355" s="336">
        <f t="shared" ca="1" si="69"/>
        <v>0</v>
      </c>
      <c r="D355" s="335"/>
      <c r="E355" s="336">
        <f t="shared" si="70"/>
        <v>0</v>
      </c>
      <c r="F355" s="336">
        <f t="shared" ca="1" si="71"/>
        <v>0</v>
      </c>
      <c r="G355" s="336">
        <f t="shared" ca="1" si="72"/>
        <v>0</v>
      </c>
      <c r="H355" s="336">
        <f t="shared" ca="1" si="73"/>
        <v>0</v>
      </c>
      <c r="I355" s="337">
        <f t="shared" ca="1" si="74"/>
        <v>0</v>
      </c>
    </row>
    <row r="356" spans="1:9">
      <c r="A356" s="335">
        <f t="shared" si="75"/>
        <v>339</v>
      </c>
      <c r="B356" s="340">
        <f t="shared" si="76"/>
        <v>56584</v>
      </c>
      <c r="C356" s="336">
        <f t="shared" ca="1" si="69"/>
        <v>0</v>
      </c>
      <c r="D356" s="335"/>
      <c r="E356" s="336">
        <f t="shared" ca="1" si="70"/>
        <v>0</v>
      </c>
      <c r="F356" s="336">
        <f t="shared" ca="1" si="71"/>
        <v>0</v>
      </c>
      <c r="G356" s="336">
        <f t="shared" ca="1" si="72"/>
        <v>0</v>
      </c>
      <c r="H356" s="336">
        <f t="shared" ca="1" si="73"/>
        <v>0</v>
      </c>
      <c r="I356" s="337">
        <f t="shared" ca="1" si="74"/>
        <v>0</v>
      </c>
    </row>
    <row r="357" spans="1:9">
      <c r="A357" s="335">
        <f t="shared" si="75"/>
        <v>340</v>
      </c>
      <c r="B357" s="340">
        <f t="shared" si="76"/>
        <v>56615</v>
      </c>
      <c r="C357" s="336">
        <f t="shared" ca="1" si="69"/>
        <v>0</v>
      </c>
      <c r="D357" s="335"/>
      <c r="E357" s="336">
        <f t="shared" si="70"/>
        <v>0</v>
      </c>
      <c r="F357" s="336">
        <f t="shared" ca="1" si="71"/>
        <v>0</v>
      </c>
      <c r="G357" s="336">
        <f t="shared" ca="1" si="72"/>
        <v>0</v>
      </c>
      <c r="H357" s="336">
        <f t="shared" ca="1" si="73"/>
        <v>0</v>
      </c>
      <c r="I357" s="337">
        <f t="shared" ca="1" si="74"/>
        <v>0</v>
      </c>
    </row>
    <row r="358" spans="1:9">
      <c r="A358" s="335">
        <f t="shared" si="75"/>
        <v>341</v>
      </c>
      <c r="B358" s="340">
        <f t="shared" si="76"/>
        <v>56646</v>
      </c>
      <c r="C358" s="336">
        <f t="shared" ca="1" si="69"/>
        <v>0</v>
      </c>
      <c r="D358" s="335"/>
      <c r="E358" s="336">
        <f t="shared" si="70"/>
        <v>0</v>
      </c>
      <c r="F358" s="336">
        <f t="shared" ca="1" si="71"/>
        <v>0</v>
      </c>
      <c r="G358" s="336">
        <f t="shared" ca="1" si="72"/>
        <v>0</v>
      </c>
      <c r="H358" s="336">
        <f t="shared" ca="1" si="73"/>
        <v>0</v>
      </c>
      <c r="I358" s="337">
        <f t="shared" ca="1" si="74"/>
        <v>0</v>
      </c>
    </row>
    <row r="359" spans="1:9">
      <c r="A359" s="335">
        <f t="shared" si="75"/>
        <v>342</v>
      </c>
      <c r="B359" s="340">
        <f t="shared" si="76"/>
        <v>56674</v>
      </c>
      <c r="C359" s="336">
        <f t="shared" ca="1" si="69"/>
        <v>0</v>
      </c>
      <c r="D359" s="335"/>
      <c r="E359" s="336">
        <f t="shared" ca="1" si="70"/>
        <v>0</v>
      </c>
      <c r="F359" s="336">
        <f t="shared" ca="1" si="71"/>
        <v>0</v>
      </c>
      <c r="G359" s="336">
        <f t="shared" ca="1" si="72"/>
        <v>0</v>
      </c>
      <c r="H359" s="336">
        <f t="shared" ca="1" si="73"/>
        <v>0</v>
      </c>
      <c r="I359" s="337">
        <f t="shared" ca="1" si="74"/>
        <v>0</v>
      </c>
    </row>
    <row r="360" spans="1:9">
      <c r="A360" s="335">
        <f t="shared" si="75"/>
        <v>343</v>
      </c>
      <c r="B360" s="340">
        <f t="shared" si="76"/>
        <v>56705</v>
      </c>
      <c r="C360" s="336">
        <f t="shared" ca="1" si="69"/>
        <v>0</v>
      </c>
      <c r="D360" s="335"/>
      <c r="E360" s="336">
        <f t="shared" si="70"/>
        <v>0</v>
      </c>
      <c r="F360" s="336">
        <f t="shared" ca="1" si="71"/>
        <v>0</v>
      </c>
      <c r="G360" s="336">
        <f t="shared" ca="1" si="72"/>
        <v>0</v>
      </c>
      <c r="H360" s="336">
        <f t="shared" ca="1" si="73"/>
        <v>0</v>
      </c>
      <c r="I360" s="337">
        <f t="shared" ca="1" si="74"/>
        <v>0</v>
      </c>
    </row>
    <row r="361" spans="1:9">
      <c r="A361" s="335">
        <f t="shared" si="75"/>
        <v>344</v>
      </c>
      <c r="B361" s="340">
        <f t="shared" si="76"/>
        <v>56735</v>
      </c>
      <c r="C361" s="336">
        <f t="shared" ca="1" si="69"/>
        <v>0</v>
      </c>
      <c r="D361" s="335"/>
      <c r="E361" s="336">
        <f t="shared" si="70"/>
        <v>0</v>
      </c>
      <c r="F361" s="336">
        <f t="shared" ca="1" si="71"/>
        <v>0</v>
      </c>
      <c r="G361" s="336">
        <f t="shared" ca="1" si="72"/>
        <v>0</v>
      </c>
      <c r="H361" s="336">
        <f t="shared" ca="1" si="73"/>
        <v>0</v>
      </c>
      <c r="I361" s="337">
        <f t="shared" ca="1" si="74"/>
        <v>0</v>
      </c>
    </row>
    <row r="362" spans="1:9">
      <c r="A362" s="335">
        <f t="shared" si="75"/>
        <v>345</v>
      </c>
      <c r="B362" s="340">
        <f t="shared" si="76"/>
        <v>56766</v>
      </c>
      <c r="C362" s="336">
        <f t="shared" ca="1" si="69"/>
        <v>0</v>
      </c>
      <c r="D362" s="335"/>
      <c r="E362" s="336">
        <f t="shared" ca="1" si="70"/>
        <v>0</v>
      </c>
      <c r="F362" s="336">
        <f t="shared" ca="1" si="71"/>
        <v>0</v>
      </c>
      <c r="G362" s="336">
        <f t="shared" ca="1" si="72"/>
        <v>0</v>
      </c>
      <c r="H362" s="336">
        <f t="shared" ca="1" si="73"/>
        <v>0</v>
      </c>
      <c r="I362" s="337">
        <f t="shared" ca="1" si="74"/>
        <v>0</v>
      </c>
    </row>
    <row r="363" spans="1:9">
      <c r="A363" s="335">
        <f t="shared" si="75"/>
        <v>346</v>
      </c>
      <c r="B363" s="340">
        <f t="shared" si="76"/>
        <v>56796</v>
      </c>
      <c r="C363" s="336">
        <f t="shared" ca="1" si="69"/>
        <v>0</v>
      </c>
      <c r="D363" s="335"/>
      <c r="E363" s="336">
        <f t="shared" si="70"/>
        <v>0</v>
      </c>
      <c r="F363" s="336">
        <f t="shared" ca="1" si="71"/>
        <v>0</v>
      </c>
      <c r="G363" s="336">
        <f t="shared" ca="1" si="72"/>
        <v>0</v>
      </c>
      <c r="H363" s="336">
        <f t="shared" ca="1" si="73"/>
        <v>0</v>
      </c>
      <c r="I363" s="337">
        <f t="shared" ca="1" si="74"/>
        <v>0</v>
      </c>
    </row>
    <row r="364" spans="1:9">
      <c r="A364" s="335">
        <f t="shared" si="75"/>
        <v>347</v>
      </c>
      <c r="B364" s="340">
        <f t="shared" si="76"/>
        <v>56827</v>
      </c>
      <c r="C364" s="336">
        <f t="shared" ca="1" si="69"/>
        <v>0</v>
      </c>
      <c r="D364" s="335"/>
      <c r="E364" s="336">
        <f t="shared" si="70"/>
        <v>0</v>
      </c>
      <c r="F364" s="336">
        <f t="shared" ca="1" si="71"/>
        <v>0</v>
      </c>
      <c r="G364" s="336">
        <f t="shared" ca="1" si="72"/>
        <v>0</v>
      </c>
      <c r="H364" s="336">
        <f t="shared" ca="1" si="73"/>
        <v>0</v>
      </c>
      <c r="I364" s="337">
        <f t="shared" ca="1" si="74"/>
        <v>0</v>
      </c>
    </row>
    <row r="365" spans="1:9">
      <c r="A365" s="335">
        <f t="shared" si="75"/>
        <v>348</v>
      </c>
      <c r="B365" s="340">
        <f t="shared" si="76"/>
        <v>56858</v>
      </c>
      <c r="C365" s="336">
        <f t="shared" ca="1" si="69"/>
        <v>0</v>
      </c>
      <c r="D365" s="335"/>
      <c r="E365" s="336">
        <f t="shared" ca="1" si="70"/>
        <v>0</v>
      </c>
      <c r="F365" s="336">
        <f t="shared" ca="1" si="71"/>
        <v>0</v>
      </c>
      <c r="G365" s="336">
        <f t="shared" ca="1" si="72"/>
        <v>0</v>
      </c>
      <c r="H365" s="336">
        <f t="shared" ca="1" si="73"/>
        <v>0</v>
      </c>
      <c r="I365" s="337">
        <f t="shared" ca="1" si="74"/>
        <v>0</v>
      </c>
    </row>
    <row r="366" spans="1:9">
      <c r="A366" s="335">
        <f t="shared" si="75"/>
        <v>349</v>
      </c>
      <c r="B366" s="340">
        <f t="shared" si="76"/>
        <v>56888</v>
      </c>
      <c r="C366" s="336">
        <f t="shared" ca="1" si="69"/>
        <v>0</v>
      </c>
      <c r="D366" s="335"/>
      <c r="E366" s="336">
        <f t="shared" si="70"/>
        <v>0</v>
      </c>
      <c r="F366" s="336">
        <f t="shared" ca="1" si="71"/>
        <v>0</v>
      </c>
      <c r="G366" s="336">
        <f t="shared" ca="1" si="72"/>
        <v>0</v>
      </c>
      <c r="H366" s="336">
        <f t="shared" ca="1" si="73"/>
        <v>0</v>
      </c>
      <c r="I366" s="337">
        <f t="shared" ca="1" si="74"/>
        <v>0</v>
      </c>
    </row>
    <row r="367" spans="1:9">
      <c r="A367" s="335">
        <f t="shared" si="75"/>
        <v>350</v>
      </c>
      <c r="B367" s="340">
        <f t="shared" si="76"/>
        <v>56919</v>
      </c>
      <c r="C367" s="336">
        <f t="shared" ca="1" si="69"/>
        <v>0</v>
      </c>
      <c r="D367" s="335"/>
      <c r="E367" s="336">
        <f t="shared" si="70"/>
        <v>0</v>
      </c>
      <c r="F367" s="336">
        <f t="shared" ca="1" si="71"/>
        <v>0</v>
      </c>
      <c r="G367" s="336">
        <f t="shared" ca="1" si="72"/>
        <v>0</v>
      </c>
      <c r="H367" s="336">
        <f t="shared" ca="1" si="73"/>
        <v>0</v>
      </c>
      <c r="I367" s="337">
        <f t="shared" ca="1" si="74"/>
        <v>0</v>
      </c>
    </row>
    <row r="368" spans="1:9">
      <c r="A368" s="335">
        <f t="shared" si="75"/>
        <v>351</v>
      </c>
      <c r="B368" s="340">
        <f t="shared" si="76"/>
        <v>56949</v>
      </c>
      <c r="C368" s="336">
        <f t="shared" ca="1" si="69"/>
        <v>0</v>
      </c>
      <c r="D368" s="335"/>
      <c r="E368" s="336">
        <f t="shared" ca="1" si="70"/>
        <v>0</v>
      </c>
      <c r="F368" s="336">
        <f t="shared" ca="1" si="71"/>
        <v>0</v>
      </c>
      <c r="G368" s="336">
        <f t="shared" ca="1" si="72"/>
        <v>0</v>
      </c>
      <c r="H368" s="336">
        <f t="shared" ca="1" si="73"/>
        <v>0</v>
      </c>
      <c r="I368" s="337">
        <f t="shared" ca="1" si="74"/>
        <v>0</v>
      </c>
    </row>
    <row r="369" spans="1:9">
      <c r="A369" s="335">
        <f t="shared" si="75"/>
        <v>352</v>
      </c>
      <c r="B369" s="340">
        <f t="shared" si="76"/>
        <v>56980</v>
      </c>
      <c r="C369" s="336">
        <f t="shared" ca="1" si="69"/>
        <v>0</v>
      </c>
      <c r="D369" s="335"/>
      <c r="E369" s="336">
        <f t="shared" si="70"/>
        <v>0</v>
      </c>
      <c r="F369" s="336">
        <f t="shared" ca="1" si="71"/>
        <v>0</v>
      </c>
      <c r="G369" s="336">
        <f t="shared" ca="1" si="72"/>
        <v>0</v>
      </c>
      <c r="H369" s="336">
        <f t="shared" ca="1" si="73"/>
        <v>0</v>
      </c>
      <c r="I369" s="337">
        <f t="shared" ca="1" si="74"/>
        <v>0</v>
      </c>
    </row>
    <row r="370" spans="1:9">
      <c r="A370" s="335">
        <f t="shared" si="75"/>
        <v>353</v>
      </c>
      <c r="B370" s="340">
        <f t="shared" si="76"/>
        <v>57011</v>
      </c>
      <c r="C370" s="336">
        <f t="shared" ca="1" si="69"/>
        <v>0</v>
      </c>
      <c r="D370" s="335"/>
      <c r="E370" s="336">
        <f t="shared" si="70"/>
        <v>0</v>
      </c>
      <c r="F370" s="336">
        <f t="shared" ca="1" si="71"/>
        <v>0</v>
      </c>
      <c r="G370" s="336">
        <f t="shared" ca="1" si="72"/>
        <v>0</v>
      </c>
      <c r="H370" s="336">
        <f t="shared" ca="1" si="73"/>
        <v>0</v>
      </c>
      <c r="I370" s="337">
        <f t="shared" ca="1" si="74"/>
        <v>0</v>
      </c>
    </row>
    <row r="371" spans="1:9">
      <c r="A371" s="335">
        <f t="shared" si="75"/>
        <v>354</v>
      </c>
      <c r="B371" s="340">
        <f t="shared" si="76"/>
        <v>57040</v>
      </c>
      <c r="C371" s="336">
        <f t="shared" ca="1" si="69"/>
        <v>0</v>
      </c>
      <c r="D371" s="335"/>
      <c r="E371" s="336">
        <f t="shared" ca="1" si="70"/>
        <v>0</v>
      </c>
      <c r="F371" s="336">
        <f t="shared" ca="1" si="71"/>
        <v>0</v>
      </c>
      <c r="G371" s="336">
        <f t="shared" ca="1" si="72"/>
        <v>0</v>
      </c>
      <c r="H371" s="336">
        <f t="shared" ca="1" si="73"/>
        <v>0</v>
      </c>
      <c r="I371" s="337">
        <f t="shared" ca="1" si="74"/>
        <v>0</v>
      </c>
    </row>
    <row r="372" spans="1:9">
      <c r="A372" s="335">
        <f t="shared" si="75"/>
        <v>355</v>
      </c>
      <c r="B372" s="340">
        <f t="shared" si="76"/>
        <v>57071</v>
      </c>
      <c r="C372" s="336">
        <f t="shared" ca="1" si="69"/>
        <v>0</v>
      </c>
      <c r="D372" s="335"/>
      <c r="E372" s="336">
        <f t="shared" si="70"/>
        <v>0</v>
      </c>
      <c r="F372" s="336">
        <f t="shared" ca="1" si="71"/>
        <v>0</v>
      </c>
      <c r="G372" s="336">
        <f t="shared" ca="1" si="72"/>
        <v>0</v>
      </c>
      <c r="H372" s="336">
        <f t="shared" ca="1" si="73"/>
        <v>0</v>
      </c>
      <c r="I372" s="337">
        <f t="shared" ca="1" si="74"/>
        <v>0</v>
      </c>
    </row>
    <row r="373" spans="1:9">
      <c r="A373" s="335">
        <f t="shared" si="75"/>
        <v>356</v>
      </c>
      <c r="B373" s="340">
        <f t="shared" si="76"/>
        <v>57101</v>
      </c>
      <c r="C373" s="336">
        <f t="shared" ca="1" si="69"/>
        <v>0</v>
      </c>
      <c r="D373" s="335"/>
      <c r="E373" s="336">
        <f t="shared" si="70"/>
        <v>0</v>
      </c>
      <c r="F373" s="336">
        <f t="shared" ca="1" si="71"/>
        <v>0</v>
      </c>
      <c r="G373" s="336">
        <f t="shared" ca="1" si="72"/>
        <v>0</v>
      </c>
      <c r="H373" s="336">
        <f t="shared" ca="1" si="73"/>
        <v>0</v>
      </c>
      <c r="I373" s="337">
        <f t="shared" ca="1" si="74"/>
        <v>0</v>
      </c>
    </row>
    <row r="374" spans="1:9">
      <c r="A374" s="335">
        <f t="shared" si="75"/>
        <v>357</v>
      </c>
      <c r="B374" s="340">
        <f t="shared" si="76"/>
        <v>57132</v>
      </c>
      <c r="C374" s="336">
        <f t="shared" ca="1" si="69"/>
        <v>0</v>
      </c>
      <c r="D374" s="335"/>
      <c r="E374" s="336">
        <f t="shared" ca="1" si="70"/>
        <v>0</v>
      </c>
      <c r="F374" s="336">
        <f t="shared" ca="1" si="71"/>
        <v>0</v>
      </c>
      <c r="G374" s="336">
        <f t="shared" ca="1" si="72"/>
        <v>0</v>
      </c>
      <c r="H374" s="336">
        <f t="shared" ca="1" si="73"/>
        <v>0</v>
      </c>
      <c r="I374" s="337">
        <f t="shared" ca="1" si="74"/>
        <v>0</v>
      </c>
    </row>
    <row r="375" spans="1:9">
      <c r="A375" s="335">
        <f t="shared" si="75"/>
        <v>358</v>
      </c>
      <c r="B375" s="340">
        <f t="shared" si="76"/>
        <v>57162</v>
      </c>
      <c r="C375" s="336">
        <f t="shared" ca="1" si="69"/>
        <v>0</v>
      </c>
      <c r="D375" s="335"/>
      <c r="E375" s="336">
        <f t="shared" si="70"/>
        <v>0</v>
      </c>
      <c r="F375" s="336">
        <f t="shared" ca="1" si="71"/>
        <v>0</v>
      </c>
      <c r="G375" s="336">
        <f t="shared" ca="1" si="72"/>
        <v>0</v>
      </c>
      <c r="H375" s="336">
        <f t="shared" ca="1" si="73"/>
        <v>0</v>
      </c>
      <c r="I375" s="337">
        <f t="shared" ca="1" si="74"/>
        <v>0</v>
      </c>
    </row>
    <row r="376" spans="1:9">
      <c r="A376" s="335">
        <f t="shared" si="75"/>
        <v>359</v>
      </c>
      <c r="B376" s="340">
        <f t="shared" si="76"/>
        <v>57193</v>
      </c>
      <c r="C376" s="336">
        <f t="shared" ca="1" si="69"/>
        <v>0</v>
      </c>
      <c r="D376" s="335"/>
      <c r="E376" s="336">
        <f t="shared" si="70"/>
        <v>0</v>
      </c>
      <c r="F376" s="336">
        <f t="shared" ca="1" si="71"/>
        <v>0</v>
      </c>
      <c r="G376" s="336">
        <f t="shared" ca="1" si="72"/>
        <v>0</v>
      </c>
      <c r="H376" s="336">
        <f t="shared" ca="1" si="73"/>
        <v>0</v>
      </c>
      <c r="I376" s="337">
        <f t="shared" ca="1" si="74"/>
        <v>0</v>
      </c>
    </row>
    <row r="377" spans="1:9">
      <c r="A377" s="335">
        <f t="shared" si="75"/>
        <v>360</v>
      </c>
      <c r="B377" s="340">
        <f t="shared" si="76"/>
        <v>57224</v>
      </c>
      <c r="C377" s="336">
        <f t="shared" ca="1" si="69"/>
        <v>0</v>
      </c>
      <c r="D377" s="335"/>
      <c r="E377" s="336">
        <f t="shared" ca="1" si="70"/>
        <v>0</v>
      </c>
      <c r="F377" s="336">
        <f t="shared" ca="1" si="71"/>
        <v>0</v>
      </c>
      <c r="G377" s="336">
        <f t="shared" ca="1" si="72"/>
        <v>0</v>
      </c>
      <c r="H377" s="336">
        <f t="shared" ca="1" si="73"/>
        <v>0</v>
      </c>
      <c r="I377" s="337">
        <f t="shared" ca="1" si="74"/>
        <v>0</v>
      </c>
    </row>
    <row r="378" spans="1:9">
      <c r="A378" s="335">
        <f t="shared" si="75"/>
        <v>361</v>
      </c>
      <c r="B378" s="340">
        <f t="shared" si="76"/>
        <v>57254</v>
      </c>
      <c r="C378" s="336">
        <f t="shared" ca="1" si="69"/>
        <v>0</v>
      </c>
      <c r="D378" s="335"/>
      <c r="E378" s="336">
        <f t="shared" si="70"/>
        <v>0</v>
      </c>
      <c r="F378" s="336">
        <f t="shared" ca="1" si="71"/>
        <v>0</v>
      </c>
      <c r="G378" s="336">
        <f t="shared" ca="1" si="72"/>
        <v>0</v>
      </c>
      <c r="H378" s="336">
        <f t="shared" ca="1" si="73"/>
        <v>0</v>
      </c>
      <c r="I378" s="337">
        <f t="shared" ca="1" si="74"/>
        <v>0</v>
      </c>
    </row>
    <row r="379" spans="1:9">
      <c r="A379" s="335">
        <f t="shared" si="75"/>
        <v>362</v>
      </c>
      <c r="B379" s="340">
        <f t="shared" si="76"/>
        <v>57285</v>
      </c>
      <c r="C379" s="336">
        <f t="shared" ca="1" si="69"/>
        <v>0</v>
      </c>
      <c r="D379" s="335"/>
      <c r="E379" s="336">
        <f t="shared" si="70"/>
        <v>0</v>
      </c>
      <c r="F379" s="336">
        <f t="shared" ca="1" si="71"/>
        <v>0</v>
      </c>
      <c r="G379" s="336">
        <f t="shared" ca="1" si="72"/>
        <v>0</v>
      </c>
      <c r="H379" s="336">
        <f t="shared" ca="1" si="73"/>
        <v>0</v>
      </c>
      <c r="I379" s="337">
        <f t="shared" ca="1" si="74"/>
        <v>0</v>
      </c>
    </row>
    <row r="380" spans="1:9">
      <c r="A380" s="335">
        <f t="shared" si="75"/>
        <v>363</v>
      </c>
      <c r="B380" s="340">
        <f t="shared" si="76"/>
        <v>57315</v>
      </c>
      <c r="C380" s="336">
        <f t="shared" ca="1" si="69"/>
        <v>0</v>
      </c>
      <c r="D380" s="335"/>
      <c r="E380" s="336">
        <f t="shared" ca="1" si="70"/>
        <v>0</v>
      </c>
      <c r="F380" s="336">
        <f t="shared" ca="1" si="71"/>
        <v>0</v>
      </c>
      <c r="G380" s="336">
        <f t="shared" ca="1" si="72"/>
        <v>0</v>
      </c>
      <c r="H380" s="336">
        <f t="shared" ca="1" si="73"/>
        <v>0</v>
      </c>
      <c r="I380" s="337">
        <f t="shared" ca="1" si="74"/>
        <v>0</v>
      </c>
    </row>
    <row r="381" spans="1:9">
      <c r="A381" s="335">
        <f t="shared" si="75"/>
        <v>364</v>
      </c>
      <c r="B381" s="340">
        <f t="shared" si="76"/>
        <v>57346</v>
      </c>
      <c r="C381" s="336">
        <f t="shared" ca="1" si="69"/>
        <v>0</v>
      </c>
      <c r="D381" s="335"/>
      <c r="E381" s="336">
        <f t="shared" si="70"/>
        <v>0</v>
      </c>
      <c r="F381" s="336">
        <f t="shared" ca="1" si="71"/>
        <v>0</v>
      </c>
      <c r="G381" s="336">
        <f t="shared" ca="1" si="72"/>
        <v>0</v>
      </c>
      <c r="H381" s="336">
        <f t="shared" ca="1" si="73"/>
        <v>0</v>
      </c>
      <c r="I381" s="337">
        <f t="shared" ca="1" si="74"/>
        <v>0</v>
      </c>
    </row>
    <row r="382" spans="1:9">
      <c r="A382" s="335">
        <f t="shared" si="75"/>
        <v>365</v>
      </c>
      <c r="B382" s="340">
        <f t="shared" si="76"/>
        <v>57377</v>
      </c>
      <c r="C382" s="336">
        <f t="shared" ref="C382:C445" ca="1" si="77">IF(H381=0,0,H381)</f>
        <v>0</v>
      </c>
      <c r="D382" s="335"/>
      <c r="E382" s="336">
        <f t="shared" ref="E382:E445" si="78">IF($D$10=1,
 IF(OR(MONTH(B382)=MONTH(EDATE($D$7,0)),MONTH(B382)=MONTH(EDATE($D$7,3)),MONTH(B382)=MONTH(EDATE($D$7,6)),MONTH(B382)=MONTH(EDATE($D$7,9))),(MIN($D$305,H381)),0),
IF($D$10=0,
 IF(OR(MONTH(B382)=MONTH(EDATE($D$7,2)),MONTH(B382)=MONTH(EDATE($D$7,5)),MONTH(B382)=MONTH(EDATE($D$7,8)),MONTH(B382)=MONTH(EDATE($D$7,11))),(MIN($D$305,H381)),0)))</f>
        <v>0</v>
      </c>
      <c r="F382" s="336">
        <f t="shared" ref="F382:F445" ca="1" si="79">IF(E382="","",E382-G382)</f>
        <v>0</v>
      </c>
      <c r="G382" s="336">
        <f t="shared" ref="G382:G445" ca="1" si="80">ROUND((C382-E382)*$D$5,3)</f>
        <v>0</v>
      </c>
      <c r="H382" s="336">
        <f t="shared" ref="H382:H445" ca="1" si="81">IF(E382="","",ROUND(H381-F382,4))</f>
        <v>0</v>
      </c>
      <c r="I382" s="337">
        <f t="shared" ref="I382:I445" ca="1" si="82">ROUND((D382-H382),0)</f>
        <v>0</v>
      </c>
    </row>
    <row r="383" spans="1:9">
      <c r="A383" s="335">
        <f t="shared" si="75"/>
        <v>366</v>
      </c>
      <c r="B383" s="340">
        <f t="shared" si="76"/>
        <v>57405</v>
      </c>
      <c r="C383" s="336">
        <f t="shared" ca="1" si="77"/>
        <v>0</v>
      </c>
      <c r="D383" s="335"/>
      <c r="E383" s="336">
        <f t="shared" ca="1" si="78"/>
        <v>0</v>
      </c>
      <c r="F383" s="336">
        <f t="shared" ca="1" si="79"/>
        <v>0</v>
      </c>
      <c r="G383" s="336">
        <f t="shared" ca="1" si="80"/>
        <v>0</v>
      </c>
      <c r="H383" s="336">
        <f t="shared" ca="1" si="81"/>
        <v>0</v>
      </c>
      <c r="I383" s="337">
        <f t="shared" ca="1" si="82"/>
        <v>0</v>
      </c>
    </row>
    <row r="384" spans="1:9">
      <c r="A384" s="335">
        <f t="shared" si="75"/>
        <v>367</v>
      </c>
      <c r="B384" s="340">
        <f t="shared" si="76"/>
        <v>57436</v>
      </c>
      <c r="C384" s="336">
        <f t="shared" ca="1" si="77"/>
        <v>0</v>
      </c>
      <c r="D384" s="335"/>
      <c r="E384" s="336">
        <f t="shared" si="78"/>
        <v>0</v>
      </c>
      <c r="F384" s="336">
        <f t="shared" ca="1" si="79"/>
        <v>0</v>
      </c>
      <c r="G384" s="336">
        <f t="shared" ca="1" si="80"/>
        <v>0</v>
      </c>
      <c r="H384" s="336">
        <f t="shared" ca="1" si="81"/>
        <v>0</v>
      </c>
      <c r="I384" s="337">
        <f t="shared" ca="1" si="82"/>
        <v>0</v>
      </c>
    </row>
    <row r="385" spans="1:9">
      <c r="A385" s="335">
        <f t="shared" si="75"/>
        <v>368</v>
      </c>
      <c r="B385" s="340">
        <f t="shared" si="76"/>
        <v>57466</v>
      </c>
      <c r="C385" s="336">
        <f t="shared" ca="1" si="77"/>
        <v>0</v>
      </c>
      <c r="D385" s="335"/>
      <c r="E385" s="336">
        <f t="shared" si="78"/>
        <v>0</v>
      </c>
      <c r="F385" s="336">
        <f t="shared" ca="1" si="79"/>
        <v>0</v>
      </c>
      <c r="G385" s="336">
        <f t="shared" ca="1" si="80"/>
        <v>0</v>
      </c>
      <c r="H385" s="336">
        <f t="shared" ca="1" si="81"/>
        <v>0</v>
      </c>
      <c r="I385" s="337">
        <f t="shared" ca="1" si="82"/>
        <v>0</v>
      </c>
    </row>
    <row r="386" spans="1:9">
      <c r="A386" s="335">
        <f t="shared" si="75"/>
        <v>369</v>
      </c>
      <c r="B386" s="340">
        <f t="shared" si="76"/>
        <v>57497</v>
      </c>
      <c r="C386" s="336">
        <f t="shared" ca="1" si="77"/>
        <v>0</v>
      </c>
      <c r="D386" s="335"/>
      <c r="E386" s="336">
        <f t="shared" ca="1" si="78"/>
        <v>0</v>
      </c>
      <c r="F386" s="336">
        <f t="shared" ca="1" si="79"/>
        <v>0</v>
      </c>
      <c r="G386" s="336">
        <f t="shared" ca="1" si="80"/>
        <v>0</v>
      </c>
      <c r="H386" s="336">
        <f t="shared" ca="1" si="81"/>
        <v>0</v>
      </c>
      <c r="I386" s="337">
        <f t="shared" ca="1" si="82"/>
        <v>0</v>
      </c>
    </row>
    <row r="387" spans="1:9">
      <c r="A387" s="335">
        <f t="shared" si="75"/>
        <v>370</v>
      </c>
      <c r="B387" s="340">
        <f t="shared" si="76"/>
        <v>57527</v>
      </c>
      <c r="C387" s="336">
        <f t="shared" ca="1" si="77"/>
        <v>0</v>
      </c>
      <c r="D387" s="335"/>
      <c r="E387" s="336">
        <f t="shared" si="78"/>
        <v>0</v>
      </c>
      <c r="F387" s="336">
        <f t="shared" ca="1" si="79"/>
        <v>0</v>
      </c>
      <c r="G387" s="336">
        <f t="shared" ca="1" si="80"/>
        <v>0</v>
      </c>
      <c r="H387" s="336">
        <f t="shared" ca="1" si="81"/>
        <v>0</v>
      </c>
      <c r="I387" s="337">
        <f t="shared" ca="1" si="82"/>
        <v>0</v>
      </c>
    </row>
    <row r="388" spans="1:9">
      <c r="A388" s="335">
        <f t="shared" si="75"/>
        <v>371</v>
      </c>
      <c r="B388" s="340">
        <f t="shared" si="76"/>
        <v>57558</v>
      </c>
      <c r="C388" s="336">
        <f t="shared" ca="1" si="77"/>
        <v>0</v>
      </c>
      <c r="D388" s="335"/>
      <c r="E388" s="336">
        <f t="shared" si="78"/>
        <v>0</v>
      </c>
      <c r="F388" s="336">
        <f t="shared" ca="1" si="79"/>
        <v>0</v>
      </c>
      <c r="G388" s="336">
        <f t="shared" ca="1" si="80"/>
        <v>0</v>
      </c>
      <c r="H388" s="336">
        <f t="shared" ca="1" si="81"/>
        <v>0</v>
      </c>
      <c r="I388" s="337">
        <f t="shared" ca="1" si="82"/>
        <v>0</v>
      </c>
    </row>
    <row r="389" spans="1:9">
      <c r="A389" s="335">
        <f t="shared" si="75"/>
        <v>372</v>
      </c>
      <c r="B389" s="340">
        <f t="shared" si="76"/>
        <v>57589</v>
      </c>
      <c r="C389" s="336">
        <f t="shared" ca="1" si="77"/>
        <v>0</v>
      </c>
      <c r="D389" s="335"/>
      <c r="E389" s="336">
        <f t="shared" ca="1" si="78"/>
        <v>0</v>
      </c>
      <c r="F389" s="336">
        <f t="shared" ca="1" si="79"/>
        <v>0</v>
      </c>
      <c r="G389" s="336">
        <f t="shared" ca="1" si="80"/>
        <v>0</v>
      </c>
      <c r="H389" s="336">
        <f t="shared" ca="1" si="81"/>
        <v>0</v>
      </c>
      <c r="I389" s="337">
        <f t="shared" ca="1" si="82"/>
        <v>0</v>
      </c>
    </row>
    <row r="390" spans="1:9">
      <c r="A390" s="335">
        <f t="shared" si="75"/>
        <v>373</v>
      </c>
      <c r="B390" s="340">
        <f t="shared" si="76"/>
        <v>57619</v>
      </c>
      <c r="C390" s="336">
        <f t="shared" ca="1" si="77"/>
        <v>0</v>
      </c>
      <c r="D390" s="335"/>
      <c r="E390" s="336">
        <f t="shared" si="78"/>
        <v>0</v>
      </c>
      <c r="F390" s="336">
        <f t="shared" ca="1" si="79"/>
        <v>0</v>
      </c>
      <c r="G390" s="336">
        <f t="shared" ca="1" si="80"/>
        <v>0</v>
      </c>
      <c r="H390" s="336">
        <f t="shared" ca="1" si="81"/>
        <v>0</v>
      </c>
      <c r="I390" s="337">
        <f t="shared" ca="1" si="82"/>
        <v>0</v>
      </c>
    </row>
    <row r="391" spans="1:9">
      <c r="A391" s="335">
        <f t="shared" si="75"/>
        <v>374</v>
      </c>
      <c r="B391" s="340">
        <f t="shared" si="76"/>
        <v>57650</v>
      </c>
      <c r="C391" s="336">
        <f t="shared" ca="1" si="77"/>
        <v>0</v>
      </c>
      <c r="D391" s="335"/>
      <c r="E391" s="336">
        <f t="shared" si="78"/>
        <v>0</v>
      </c>
      <c r="F391" s="336">
        <f t="shared" ca="1" si="79"/>
        <v>0</v>
      </c>
      <c r="G391" s="336">
        <f t="shared" ca="1" si="80"/>
        <v>0</v>
      </c>
      <c r="H391" s="336">
        <f t="shared" ca="1" si="81"/>
        <v>0</v>
      </c>
      <c r="I391" s="337">
        <f t="shared" ca="1" si="82"/>
        <v>0</v>
      </c>
    </row>
    <row r="392" spans="1:9">
      <c r="A392" s="335">
        <f t="shared" si="75"/>
        <v>375</v>
      </c>
      <c r="B392" s="340">
        <f t="shared" si="76"/>
        <v>57680</v>
      </c>
      <c r="C392" s="336">
        <f t="shared" ca="1" si="77"/>
        <v>0</v>
      </c>
      <c r="D392" s="335"/>
      <c r="E392" s="336">
        <f t="shared" ca="1" si="78"/>
        <v>0</v>
      </c>
      <c r="F392" s="336">
        <f t="shared" ca="1" si="79"/>
        <v>0</v>
      </c>
      <c r="G392" s="336">
        <f t="shared" ca="1" si="80"/>
        <v>0</v>
      </c>
      <c r="H392" s="336">
        <f t="shared" ca="1" si="81"/>
        <v>0</v>
      </c>
      <c r="I392" s="337">
        <f t="shared" ca="1" si="82"/>
        <v>0</v>
      </c>
    </row>
    <row r="393" spans="1:9">
      <c r="A393" s="335">
        <f t="shared" si="75"/>
        <v>376</v>
      </c>
      <c r="B393" s="340">
        <f t="shared" si="76"/>
        <v>57711</v>
      </c>
      <c r="C393" s="336">
        <f t="shared" ca="1" si="77"/>
        <v>0</v>
      </c>
      <c r="D393" s="335"/>
      <c r="E393" s="336">
        <f t="shared" si="78"/>
        <v>0</v>
      </c>
      <c r="F393" s="336">
        <f t="shared" ca="1" si="79"/>
        <v>0</v>
      </c>
      <c r="G393" s="336">
        <f t="shared" ca="1" si="80"/>
        <v>0</v>
      </c>
      <c r="H393" s="336">
        <f t="shared" ca="1" si="81"/>
        <v>0</v>
      </c>
      <c r="I393" s="337">
        <f t="shared" ca="1" si="82"/>
        <v>0</v>
      </c>
    </row>
    <row r="394" spans="1:9">
      <c r="A394" s="335">
        <f t="shared" si="75"/>
        <v>377</v>
      </c>
      <c r="B394" s="340">
        <f t="shared" si="76"/>
        <v>57742</v>
      </c>
      <c r="C394" s="336">
        <f t="shared" ca="1" si="77"/>
        <v>0</v>
      </c>
      <c r="D394" s="335"/>
      <c r="E394" s="336">
        <f t="shared" si="78"/>
        <v>0</v>
      </c>
      <c r="F394" s="336">
        <f t="shared" ca="1" si="79"/>
        <v>0</v>
      </c>
      <c r="G394" s="336">
        <f t="shared" ca="1" si="80"/>
        <v>0</v>
      </c>
      <c r="H394" s="336">
        <f t="shared" ca="1" si="81"/>
        <v>0</v>
      </c>
      <c r="I394" s="337">
        <f t="shared" ca="1" si="82"/>
        <v>0</v>
      </c>
    </row>
    <row r="395" spans="1:9">
      <c r="A395" s="335">
        <f t="shared" si="75"/>
        <v>378</v>
      </c>
      <c r="B395" s="340">
        <f t="shared" si="76"/>
        <v>57770</v>
      </c>
      <c r="C395" s="336">
        <f t="shared" ca="1" si="77"/>
        <v>0</v>
      </c>
      <c r="D395" s="335"/>
      <c r="E395" s="336">
        <f t="shared" ca="1" si="78"/>
        <v>0</v>
      </c>
      <c r="F395" s="336">
        <f t="shared" ca="1" si="79"/>
        <v>0</v>
      </c>
      <c r="G395" s="336">
        <f t="shared" ca="1" si="80"/>
        <v>0</v>
      </c>
      <c r="H395" s="336">
        <f t="shared" ca="1" si="81"/>
        <v>0</v>
      </c>
      <c r="I395" s="337">
        <f t="shared" ca="1" si="82"/>
        <v>0</v>
      </c>
    </row>
    <row r="396" spans="1:9">
      <c r="A396" s="335">
        <f t="shared" si="75"/>
        <v>379</v>
      </c>
      <c r="B396" s="340">
        <f t="shared" si="76"/>
        <v>57801</v>
      </c>
      <c r="C396" s="336">
        <f t="shared" ca="1" si="77"/>
        <v>0</v>
      </c>
      <c r="D396" s="335"/>
      <c r="E396" s="336">
        <f t="shared" si="78"/>
        <v>0</v>
      </c>
      <c r="F396" s="336">
        <f t="shared" ca="1" si="79"/>
        <v>0</v>
      </c>
      <c r="G396" s="336">
        <f t="shared" ca="1" si="80"/>
        <v>0</v>
      </c>
      <c r="H396" s="336">
        <f t="shared" ca="1" si="81"/>
        <v>0</v>
      </c>
      <c r="I396" s="337">
        <f t="shared" ca="1" si="82"/>
        <v>0</v>
      </c>
    </row>
    <row r="397" spans="1:9">
      <c r="A397" s="335">
        <f t="shared" si="75"/>
        <v>380</v>
      </c>
      <c r="B397" s="340">
        <f t="shared" si="76"/>
        <v>57831</v>
      </c>
      <c r="C397" s="336">
        <f t="shared" ca="1" si="77"/>
        <v>0</v>
      </c>
      <c r="D397" s="335"/>
      <c r="E397" s="336">
        <f t="shared" si="78"/>
        <v>0</v>
      </c>
      <c r="F397" s="336">
        <f t="shared" ca="1" si="79"/>
        <v>0</v>
      </c>
      <c r="G397" s="336">
        <f t="shared" ca="1" si="80"/>
        <v>0</v>
      </c>
      <c r="H397" s="336">
        <f t="shared" ca="1" si="81"/>
        <v>0</v>
      </c>
      <c r="I397" s="337">
        <f t="shared" ca="1" si="82"/>
        <v>0</v>
      </c>
    </row>
    <row r="398" spans="1:9">
      <c r="A398" s="335">
        <f t="shared" si="75"/>
        <v>381</v>
      </c>
      <c r="B398" s="340">
        <f t="shared" si="76"/>
        <v>57862</v>
      </c>
      <c r="C398" s="336">
        <f t="shared" ca="1" si="77"/>
        <v>0</v>
      </c>
      <c r="D398" s="335"/>
      <c r="E398" s="336">
        <f t="shared" ca="1" si="78"/>
        <v>0</v>
      </c>
      <c r="F398" s="336">
        <f t="shared" ca="1" si="79"/>
        <v>0</v>
      </c>
      <c r="G398" s="336">
        <f t="shared" ca="1" si="80"/>
        <v>0</v>
      </c>
      <c r="H398" s="336">
        <f t="shared" ca="1" si="81"/>
        <v>0</v>
      </c>
      <c r="I398" s="337">
        <f t="shared" ca="1" si="82"/>
        <v>0</v>
      </c>
    </row>
    <row r="399" spans="1:9">
      <c r="A399" s="335">
        <f t="shared" si="75"/>
        <v>382</v>
      </c>
      <c r="B399" s="340">
        <f t="shared" si="76"/>
        <v>57892</v>
      </c>
      <c r="C399" s="336">
        <f t="shared" ca="1" si="77"/>
        <v>0</v>
      </c>
      <c r="D399" s="335"/>
      <c r="E399" s="336">
        <f t="shared" si="78"/>
        <v>0</v>
      </c>
      <c r="F399" s="336">
        <f t="shared" ca="1" si="79"/>
        <v>0</v>
      </c>
      <c r="G399" s="336">
        <f t="shared" ca="1" si="80"/>
        <v>0</v>
      </c>
      <c r="H399" s="336">
        <f t="shared" ca="1" si="81"/>
        <v>0</v>
      </c>
      <c r="I399" s="337">
        <f t="shared" ca="1" si="82"/>
        <v>0</v>
      </c>
    </row>
    <row r="400" spans="1:9">
      <c r="A400" s="335">
        <f t="shared" si="75"/>
        <v>383</v>
      </c>
      <c r="B400" s="340">
        <f t="shared" si="76"/>
        <v>57923</v>
      </c>
      <c r="C400" s="336">
        <f t="shared" ca="1" si="77"/>
        <v>0</v>
      </c>
      <c r="D400" s="335"/>
      <c r="E400" s="336">
        <f t="shared" si="78"/>
        <v>0</v>
      </c>
      <c r="F400" s="336">
        <f t="shared" ca="1" si="79"/>
        <v>0</v>
      </c>
      <c r="G400" s="336">
        <f t="shared" ca="1" si="80"/>
        <v>0</v>
      </c>
      <c r="H400" s="336">
        <f t="shared" ca="1" si="81"/>
        <v>0</v>
      </c>
      <c r="I400" s="337">
        <f t="shared" ca="1" si="82"/>
        <v>0</v>
      </c>
    </row>
    <row r="401" spans="1:9">
      <c r="A401" s="335">
        <f t="shared" si="75"/>
        <v>384</v>
      </c>
      <c r="B401" s="340">
        <f t="shared" si="76"/>
        <v>57954</v>
      </c>
      <c r="C401" s="336">
        <f t="shared" ca="1" si="77"/>
        <v>0</v>
      </c>
      <c r="D401" s="335"/>
      <c r="E401" s="336">
        <f t="shared" ca="1" si="78"/>
        <v>0</v>
      </c>
      <c r="F401" s="336">
        <f t="shared" ca="1" si="79"/>
        <v>0</v>
      </c>
      <c r="G401" s="336">
        <f t="shared" ca="1" si="80"/>
        <v>0</v>
      </c>
      <c r="H401" s="336">
        <f t="shared" ca="1" si="81"/>
        <v>0</v>
      </c>
      <c r="I401" s="337">
        <f t="shared" ca="1" si="82"/>
        <v>0</v>
      </c>
    </row>
    <row r="402" spans="1:9">
      <c r="A402" s="335">
        <f t="shared" ref="A402:A465" si="83">IF(A401="","",IF(A401=$D$6,"",A401+1))</f>
        <v>385</v>
      </c>
      <c r="B402" s="340">
        <f t="shared" si="76"/>
        <v>57984</v>
      </c>
      <c r="C402" s="336">
        <f t="shared" ca="1" si="77"/>
        <v>0</v>
      </c>
      <c r="D402" s="335"/>
      <c r="E402" s="336">
        <f t="shared" si="78"/>
        <v>0</v>
      </c>
      <c r="F402" s="336">
        <f t="shared" ca="1" si="79"/>
        <v>0</v>
      </c>
      <c r="G402" s="336">
        <f t="shared" ca="1" si="80"/>
        <v>0</v>
      </c>
      <c r="H402" s="336">
        <f t="shared" ca="1" si="81"/>
        <v>0</v>
      </c>
      <c r="I402" s="337">
        <f t="shared" ca="1" si="82"/>
        <v>0</v>
      </c>
    </row>
    <row r="403" spans="1:9">
      <c r="A403" s="335">
        <f t="shared" si="83"/>
        <v>386</v>
      </c>
      <c r="B403" s="340">
        <f t="shared" si="76"/>
        <v>58015</v>
      </c>
      <c r="C403" s="336">
        <f t="shared" ca="1" si="77"/>
        <v>0</v>
      </c>
      <c r="D403" s="335"/>
      <c r="E403" s="336">
        <f t="shared" si="78"/>
        <v>0</v>
      </c>
      <c r="F403" s="336">
        <f t="shared" ca="1" si="79"/>
        <v>0</v>
      </c>
      <c r="G403" s="336">
        <f t="shared" ca="1" si="80"/>
        <v>0</v>
      </c>
      <c r="H403" s="336">
        <f t="shared" ca="1" si="81"/>
        <v>0</v>
      </c>
      <c r="I403" s="337">
        <f t="shared" ca="1" si="82"/>
        <v>0</v>
      </c>
    </row>
    <row r="404" spans="1:9">
      <c r="A404" s="335">
        <f t="shared" si="83"/>
        <v>387</v>
      </c>
      <c r="B404" s="340">
        <f t="shared" ref="B404:B467" si="84">DATE(YEAR(B403),MONTH(B403)+1,1)</f>
        <v>58045</v>
      </c>
      <c r="C404" s="336">
        <f t="shared" ca="1" si="77"/>
        <v>0</v>
      </c>
      <c r="D404" s="335"/>
      <c r="E404" s="336">
        <f t="shared" ca="1" si="78"/>
        <v>0</v>
      </c>
      <c r="F404" s="336">
        <f t="shared" ca="1" si="79"/>
        <v>0</v>
      </c>
      <c r="G404" s="336">
        <f t="shared" ca="1" si="80"/>
        <v>0</v>
      </c>
      <c r="H404" s="336">
        <f t="shared" ca="1" si="81"/>
        <v>0</v>
      </c>
      <c r="I404" s="337">
        <f t="shared" ca="1" si="82"/>
        <v>0</v>
      </c>
    </row>
    <row r="405" spans="1:9">
      <c r="A405" s="335">
        <f t="shared" si="83"/>
        <v>388</v>
      </c>
      <c r="B405" s="340">
        <f t="shared" si="84"/>
        <v>58076</v>
      </c>
      <c r="C405" s="336">
        <f t="shared" ca="1" si="77"/>
        <v>0</v>
      </c>
      <c r="D405" s="335"/>
      <c r="E405" s="336">
        <f t="shared" si="78"/>
        <v>0</v>
      </c>
      <c r="F405" s="336">
        <f t="shared" ca="1" si="79"/>
        <v>0</v>
      </c>
      <c r="G405" s="336">
        <f t="shared" ca="1" si="80"/>
        <v>0</v>
      </c>
      <c r="H405" s="336">
        <f t="shared" ca="1" si="81"/>
        <v>0</v>
      </c>
      <c r="I405" s="337">
        <f t="shared" ca="1" si="82"/>
        <v>0</v>
      </c>
    </row>
    <row r="406" spans="1:9">
      <c r="A406" s="335">
        <f t="shared" si="83"/>
        <v>389</v>
      </c>
      <c r="B406" s="340">
        <f t="shared" si="84"/>
        <v>58107</v>
      </c>
      <c r="C406" s="336">
        <f t="shared" ca="1" si="77"/>
        <v>0</v>
      </c>
      <c r="D406" s="335"/>
      <c r="E406" s="336">
        <f t="shared" si="78"/>
        <v>0</v>
      </c>
      <c r="F406" s="336">
        <f t="shared" ca="1" si="79"/>
        <v>0</v>
      </c>
      <c r="G406" s="336">
        <f t="shared" ca="1" si="80"/>
        <v>0</v>
      </c>
      <c r="H406" s="336">
        <f t="shared" ca="1" si="81"/>
        <v>0</v>
      </c>
      <c r="I406" s="337">
        <f t="shared" ca="1" si="82"/>
        <v>0</v>
      </c>
    </row>
    <row r="407" spans="1:9">
      <c r="A407" s="335">
        <f t="shared" si="83"/>
        <v>390</v>
      </c>
      <c r="B407" s="340">
        <f t="shared" si="84"/>
        <v>58135</v>
      </c>
      <c r="C407" s="336">
        <f t="shared" ca="1" si="77"/>
        <v>0</v>
      </c>
      <c r="D407" s="335"/>
      <c r="E407" s="336">
        <f t="shared" ca="1" si="78"/>
        <v>0</v>
      </c>
      <c r="F407" s="336">
        <f t="shared" ca="1" si="79"/>
        <v>0</v>
      </c>
      <c r="G407" s="336">
        <f t="shared" ca="1" si="80"/>
        <v>0</v>
      </c>
      <c r="H407" s="336">
        <f t="shared" ca="1" si="81"/>
        <v>0</v>
      </c>
      <c r="I407" s="337">
        <f t="shared" ca="1" si="82"/>
        <v>0</v>
      </c>
    </row>
    <row r="408" spans="1:9">
      <c r="A408" s="335">
        <f t="shared" si="83"/>
        <v>391</v>
      </c>
      <c r="B408" s="340">
        <f t="shared" si="84"/>
        <v>58166</v>
      </c>
      <c r="C408" s="336">
        <f t="shared" ca="1" si="77"/>
        <v>0</v>
      </c>
      <c r="D408" s="335"/>
      <c r="E408" s="336">
        <f t="shared" si="78"/>
        <v>0</v>
      </c>
      <c r="F408" s="336">
        <f t="shared" ca="1" si="79"/>
        <v>0</v>
      </c>
      <c r="G408" s="336">
        <f t="shared" ca="1" si="80"/>
        <v>0</v>
      </c>
      <c r="H408" s="336">
        <f t="shared" ca="1" si="81"/>
        <v>0</v>
      </c>
      <c r="I408" s="337">
        <f t="shared" ca="1" si="82"/>
        <v>0</v>
      </c>
    </row>
    <row r="409" spans="1:9">
      <c r="A409" s="335">
        <f t="shared" si="83"/>
        <v>392</v>
      </c>
      <c r="B409" s="340">
        <f t="shared" si="84"/>
        <v>58196</v>
      </c>
      <c r="C409" s="336">
        <f t="shared" ca="1" si="77"/>
        <v>0</v>
      </c>
      <c r="D409" s="335"/>
      <c r="E409" s="336">
        <f t="shared" si="78"/>
        <v>0</v>
      </c>
      <c r="F409" s="336">
        <f t="shared" ca="1" si="79"/>
        <v>0</v>
      </c>
      <c r="G409" s="336">
        <f t="shared" ca="1" si="80"/>
        <v>0</v>
      </c>
      <c r="H409" s="336">
        <f t="shared" ca="1" si="81"/>
        <v>0</v>
      </c>
      <c r="I409" s="337">
        <f t="shared" ca="1" si="82"/>
        <v>0</v>
      </c>
    </row>
    <row r="410" spans="1:9">
      <c r="A410" s="335">
        <f t="shared" si="83"/>
        <v>393</v>
      </c>
      <c r="B410" s="340">
        <f t="shared" si="84"/>
        <v>58227</v>
      </c>
      <c r="C410" s="336">
        <f t="shared" ca="1" si="77"/>
        <v>0</v>
      </c>
      <c r="D410" s="335"/>
      <c r="E410" s="336">
        <f t="shared" ca="1" si="78"/>
        <v>0</v>
      </c>
      <c r="F410" s="336">
        <f t="shared" ca="1" si="79"/>
        <v>0</v>
      </c>
      <c r="G410" s="336">
        <f t="shared" ca="1" si="80"/>
        <v>0</v>
      </c>
      <c r="H410" s="336">
        <f t="shared" ca="1" si="81"/>
        <v>0</v>
      </c>
      <c r="I410" s="337">
        <f t="shared" ca="1" si="82"/>
        <v>0</v>
      </c>
    </row>
    <row r="411" spans="1:9">
      <c r="A411" s="335">
        <f t="shared" si="83"/>
        <v>394</v>
      </c>
      <c r="B411" s="340">
        <f t="shared" si="84"/>
        <v>58257</v>
      </c>
      <c r="C411" s="336">
        <f t="shared" ca="1" si="77"/>
        <v>0</v>
      </c>
      <c r="D411" s="335"/>
      <c r="E411" s="336">
        <f t="shared" si="78"/>
        <v>0</v>
      </c>
      <c r="F411" s="336">
        <f t="shared" ca="1" si="79"/>
        <v>0</v>
      </c>
      <c r="G411" s="336">
        <f t="shared" ca="1" si="80"/>
        <v>0</v>
      </c>
      <c r="H411" s="336">
        <f t="shared" ca="1" si="81"/>
        <v>0</v>
      </c>
      <c r="I411" s="337">
        <f t="shared" ca="1" si="82"/>
        <v>0</v>
      </c>
    </row>
    <row r="412" spans="1:9">
      <c r="A412" s="335">
        <f t="shared" si="83"/>
        <v>395</v>
      </c>
      <c r="B412" s="340">
        <f t="shared" si="84"/>
        <v>58288</v>
      </c>
      <c r="C412" s="336">
        <f t="shared" ca="1" si="77"/>
        <v>0</v>
      </c>
      <c r="D412" s="335"/>
      <c r="E412" s="336">
        <f t="shared" si="78"/>
        <v>0</v>
      </c>
      <c r="F412" s="336">
        <f t="shared" ca="1" si="79"/>
        <v>0</v>
      </c>
      <c r="G412" s="336">
        <f t="shared" ca="1" si="80"/>
        <v>0</v>
      </c>
      <c r="H412" s="336">
        <f t="shared" ca="1" si="81"/>
        <v>0</v>
      </c>
      <c r="I412" s="337">
        <f t="shared" ca="1" si="82"/>
        <v>0</v>
      </c>
    </row>
    <row r="413" spans="1:9">
      <c r="A413" s="335">
        <f t="shared" si="83"/>
        <v>396</v>
      </c>
      <c r="B413" s="340">
        <f t="shared" si="84"/>
        <v>58319</v>
      </c>
      <c r="C413" s="336">
        <f t="shared" ca="1" si="77"/>
        <v>0</v>
      </c>
      <c r="D413" s="335"/>
      <c r="E413" s="336">
        <f t="shared" ca="1" si="78"/>
        <v>0</v>
      </c>
      <c r="F413" s="336">
        <f t="shared" ca="1" si="79"/>
        <v>0</v>
      </c>
      <c r="G413" s="336">
        <f t="shared" ca="1" si="80"/>
        <v>0</v>
      </c>
      <c r="H413" s="336">
        <f t="shared" ca="1" si="81"/>
        <v>0</v>
      </c>
      <c r="I413" s="337">
        <f t="shared" ca="1" si="82"/>
        <v>0</v>
      </c>
    </row>
    <row r="414" spans="1:9">
      <c r="A414" s="335">
        <f t="shared" si="83"/>
        <v>397</v>
      </c>
      <c r="B414" s="340">
        <f t="shared" si="84"/>
        <v>58349</v>
      </c>
      <c r="C414" s="336">
        <f t="shared" ca="1" si="77"/>
        <v>0</v>
      </c>
      <c r="D414" s="335"/>
      <c r="E414" s="336">
        <f t="shared" si="78"/>
        <v>0</v>
      </c>
      <c r="F414" s="336">
        <f t="shared" ca="1" si="79"/>
        <v>0</v>
      </c>
      <c r="G414" s="336">
        <f t="shared" ca="1" si="80"/>
        <v>0</v>
      </c>
      <c r="H414" s="336">
        <f t="shared" ca="1" si="81"/>
        <v>0</v>
      </c>
      <c r="I414" s="337">
        <f t="shared" ca="1" si="82"/>
        <v>0</v>
      </c>
    </row>
    <row r="415" spans="1:9">
      <c r="A415" s="335">
        <f t="shared" si="83"/>
        <v>398</v>
      </c>
      <c r="B415" s="340">
        <f t="shared" si="84"/>
        <v>58380</v>
      </c>
      <c r="C415" s="336">
        <f t="shared" ca="1" si="77"/>
        <v>0</v>
      </c>
      <c r="D415" s="335"/>
      <c r="E415" s="336">
        <f t="shared" si="78"/>
        <v>0</v>
      </c>
      <c r="F415" s="336">
        <f t="shared" ca="1" si="79"/>
        <v>0</v>
      </c>
      <c r="G415" s="336">
        <f t="shared" ca="1" si="80"/>
        <v>0</v>
      </c>
      <c r="H415" s="336">
        <f t="shared" ca="1" si="81"/>
        <v>0</v>
      </c>
      <c r="I415" s="337">
        <f t="shared" ca="1" si="82"/>
        <v>0</v>
      </c>
    </row>
    <row r="416" spans="1:9">
      <c r="A416" s="335">
        <f t="shared" si="83"/>
        <v>399</v>
      </c>
      <c r="B416" s="340">
        <f t="shared" si="84"/>
        <v>58410</v>
      </c>
      <c r="C416" s="336">
        <f t="shared" ca="1" si="77"/>
        <v>0</v>
      </c>
      <c r="D416" s="335"/>
      <c r="E416" s="336">
        <f t="shared" ca="1" si="78"/>
        <v>0</v>
      </c>
      <c r="F416" s="336">
        <f t="shared" ca="1" si="79"/>
        <v>0</v>
      </c>
      <c r="G416" s="336">
        <f t="shared" ca="1" si="80"/>
        <v>0</v>
      </c>
      <c r="H416" s="336">
        <f t="shared" ca="1" si="81"/>
        <v>0</v>
      </c>
      <c r="I416" s="337">
        <f t="shared" ca="1" si="82"/>
        <v>0</v>
      </c>
    </row>
    <row r="417" spans="1:9">
      <c r="A417" s="335">
        <f t="shared" si="83"/>
        <v>400</v>
      </c>
      <c r="B417" s="340">
        <f t="shared" si="84"/>
        <v>58441</v>
      </c>
      <c r="C417" s="336">
        <f t="shared" ca="1" si="77"/>
        <v>0</v>
      </c>
      <c r="D417" s="335"/>
      <c r="E417" s="336">
        <f t="shared" si="78"/>
        <v>0</v>
      </c>
      <c r="F417" s="336">
        <f t="shared" ca="1" si="79"/>
        <v>0</v>
      </c>
      <c r="G417" s="336">
        <f t="shared" ca="1" si="80"/>
        <v>0</v>
      </c>
      <c r="H417" s="336">
        <f t="shared" ca="1" si="81"/>
        <v>0</v>
      </c>
      <c r="I417" s="337">
        <f t="shared" ca="1" si="82"/>
        <v>0</v>
      </c>
    </row>
    <row r="418" spans="1:9">
      <c r="A418" s="335">
        <f t="shared" si="83"/>
        <v>401</v>
      </c>
      <c r="B418" s="340">
        <f t="shared" si="84"/>
        <v>58472</v>
      </c>
      <c r="C418" s="336">
        <f t="shared" ca="1" si="77"/>
        <v>0</v>
      </c>
      <c r="D418" s="335"/>
      <c r="E418" s="336">
        <f t="shared" si="78"/>
        <v>0</v>
      </c>
      <c r="F418" s="336">
        <f t="shared" ca="1" si="79"/>
        <v>0</v>
      </c>
      <c r="G418" s="336">
        <f t="shared" ca="1" si="80"/>
        <v>0</v>
      </c>
      <c r="H418" s="336">
        <f t="shared" ca="1" si="81"/>
        <v>0</v>
      </c>
      <c r="I418" s="337">
        <f t="shared" ca="1" si="82"/>
        <v>0</v>
      </c>
    </row>
    <row r="419" spans="1:9">
      <c r="A419" s="335">
        <f t="shared" si="83"/>
        <v>402</v>
      </c>
      <c r="B419" s="340">
        <f t="shared" si="84"/>
        <v>58501</v>
      </c>
      <c r="C419" s="336">
        <f t="shared" ca="1" si="77"/>
        <v>0</v>
      </c>
      <c r="D419" s="335"/>
      <c r="E419" s="336">
        <f t="shared" ca="1" si="78"/>
        <v>0</v>
      </c>
      <c r="F419" s="336">
        <f t="shared" ca="1" si="79"/>
        <v>0</v>
      </c>
      <c r="G419" s="336">
        <f t="shared" ca="1" si="80"/>
        <v>0</v>
      </c>
      <c r="H419" s="336">
        <f t="shared" ca="1" si="81"/>
        <v>0</v>
      </c>
      <c r="I419" s="337">
        <f t="shared" ca="1" si="82"/>
        <v>0</v>
      </c>
    </row>
    <row r="420" spans="1:9">
      <c r="A420" s="335">
        <f t="shared" si="83"/>
        <v>403</v>
      </c>
      <c r="B420" s="340">
        <f t="shared" si="84"/>
        <v>58532</v>
      </c>
      <c r="C420" s="336">
        <f t="shared" ca="1" si="77"/>
        <v>0</v>
      </c>
      <c r="D420" s="335"/>
      <c r="E420" s="336">
        <f t="shared" si="78"/>
        <v>0</v>
      </c>
      <c r="F420" s="336">
        <f t="shared" ca="1" si="79"/>
        <v>0</v>
      </c>
      <c r="G420" s="336">
        <f t="shared" ca="1" si="80"/>
        <v>0</v>
      </c>
      <c r="H420" s="336">
        <f t="shared" ca="1" si="81"/>
        <v>0</v>
      </c>
      <c r="I420" s="337">
        <f t="shared" ca="1" si="82"/>
        <v>0</v>
      </c>
    </row>
    <row r="421" spans="1:9">
      <c r="A421" s="335">
        <f t="shared" si="83"/>
        <v>404</v>
      </c>
      <c r="B421" s="340">
        <f t="shared" si="84"/>
        <v>58562</v>
      </c>
      <c r="C421" s="336">
        <f t="shared" ca="1" si="77"/>
        <v>0</v>
      </c>
      <c r="D421" s="335"/>
      <c r="E421" s="336">
        <f t="shared" si="78"/>
        <v>0</v>
      </c>
      <c r="F421" s="336">
        <f t="shared" ca="1" si="79"/>
        <v>0</v>
      </c>
      <c r="G421" s="336">
        <f t="shared" ca="1" si="80"/>
        <v>0</v>
      </c>
      <c r="H421" s="336">
        <f t="shared" ca="1" si="81"/>
        <v>0</v>
      </c>
      <c r="I421" s="337">
        <f t="shared" ca="1" si="82"/>
        <v>0</v>
      </c>
    </row>
    <row r="422" spans="1:9">
      <c r="A422" s="335">
        <f t="shared" si="83"/>
        <v>405</v>
      </c>
      <c r="B422" s="340">
        <f t="shared" si="84"/>
        <v>58593</v>
      </c>
      <c r="C422" s="336">
        <f t="shared" ca="1" si="77"/>
        <v>0</v>
      </c>
      <c r="D422" s="335"/>
      <c r="E422" s="336">
        <f t="shared" ca="1" si="78"/>
        <v>0</v>
      </c>
      <c r="F422" s="336">
        <f t="shared" ca="1" si="79"/>
        <v>0</v>
      </c>
      <c r="G422" s="336">
        <f t="shared" ca="1" si="80"/>
        <v>0</v>
      </c>
      <c r="H422" s="336">
        <f t="shared" ca="1" si="81"/>
        <v>0</v>
      </c>
      <c r="I422" s="337">
        <f t="shared" ca="1" si="82"/>
        <v>0</v>
      </c>
    </row>
    <row r="423" spans="1:9">
      <c r="A423" s="335">
        <f t="shared" si="83"/>
        <v>406</v>
      </c>
      <c r="B423" s="340">
        <f t="shared" si="84"/>
        <v>58623</v>
      </c>
      <c r="C423" s="336">
        <f t="shared" ca="1" si="77"/>
        <v>0</v>
      </c>
      <c r="D423" s="335"/>
      <c r="E423" s="336">
        <f t="shared" si="78"/>
        <v>0</v>
      </c>
      <c r="F423" s="336">
        <f t="shared" ca="1" si="79"/>
        <v>0</v>
      </c>
      <c r="G423" s="336">
        <f t="shared" ca="1" si="80"/>
        <v>0</v>
      </c>
      <c r="H423" s="336">
        <f t="shared" ca="1" si="81"/>
        <v>0</v>
      </c>
      <c r="I423" s="337">
        <f t="shared" ca="1" si="82"/>
        <v>0</v>
      </c>
    </row>
    <row r="424" spans="1:9">
      <c r="A424" s="335">
        <f t="shared" si="83"/>
        <v>407</v>
      </c>
      <c r="B424" s="340">
        <f t="shared" si="84"/>
        <v>58654</v>
      </c>
      <c r="C424" s="336">
        <f t="shared" ca="1" si="77"/>
        <v>0</v>
      </c>
      <c r="D424" s="335"/>
      <c r="E424" s="336">
        <f t="shared" si="78"/>
        <v>0</v>
      </c>
      <c r="F424" s="336">
        <f t="shared" ca="1" si="79"/>
        <v>0</v>
      </c>
      <c r="G424" s="336">
        <f t="shared" ca="1" si="80"/>
        <v>0</v>
      </c>
      <c r="H424" s="336">
        <f t="shared" ca="1" si="81"/>
        <v>0</v>
      </c>
      <c r="I424" s="337">
        <f t="shared" ca="1" si="82"/>
        <v>0</v>
      </c>
    </row>
    <row r="425" spans="1:9">
      <c r="A425" s="335">
        <f t="shared" si="83"/>
        <v>408</v>
      </c>
      <c r="B425" s="340">
        <f t="shared" si="84"/>
        <v>58685</v>
      </c>
      <c r="C425" s="336">
        <f t="shared" ca="1" si="77"/>
        <v>0</v>
      </c>
      <c r="D425" s="335"/>
      <c r="E425" s="336">
        <f t="shared" ca="1" si="78"/>
        <v>0</v>
      </c>
      <c r="F425" s="336">
        <f t="shared" ca="1" si="79"/>
        <v>0</v>
      </c>
      <c r="G425" s="336">
        <f t="shared" ca="1" si="80"/>
        <v>0</v>
      </c>
      <c r="H425" s="336">
        <f t="shared" ca="1" si="81"/>
        <v>0</v>
      </c>
      <c r="I425" s="337">
        <f t="shared" ca="1" si="82"/>
        <v>0</v>
      </c>
    </row>
    <row r="426" spans="1:9">
      <c r="A426" s="335">
        <f t="shared" si="83"/>
        <v>409</v>
      </c>
      <c r="B426" s="340">
        <f t="shared" si="84"/>
        <v>58715</v>
      </c>
      <c r="C426" s="336">
        <f t="shared" ca="1" si="77"/>
        <v>0</v>
      </c>
      <c r="D426" s="335"/>
      <c r="E426" s="336">
        <f t="shared" si="78"/>
        <v>0</v>
      </c>
      <c r="F426" s="336">
        <f t="shared" ca="1" si="79"/>
        <v>0</v>
      </c>
      <c r="G426" s="336">
        <f t="shared" ca="1" si="80"/>
        <v>0</v>
      </c>
      <c r="H426" s="336">
        <f t="shared" ca="1" si="81"/>
        <v>0</v>
      </c>
      <c r="I426" s="337">
        <f t="shared" ca="1" si="82"/>
        <v>0</v>
      </c>
    </row>
    <row r="427" spans="1:9">
      <c r="A427" s="335">
        <f t="shared" si="83"/>
        <v>410</v>
      </c>
      <c r="B427" s="340">
        <f t="shared" si="84"/>
        <v>58746</v>
      </c>
      <c r="C427" s="336">
        <f t="shared" ca="1" si="77"/>
        <v>0</v>
      </c>
      <c r="D427" s="335"/>
      <c r="E427" s="336">
        <f t="shared" si="78"/>
        <v>0</v>
      </c>
      <c r="F427" s="336">
        <f t="shared" ca="1" si="79"/>
        <v>0</v>
      </c>
      <c r="G427" s="336">
        <f t="shared" ca="1" si="80"/>
        <v>0</v>
      </c>
      <c r="H427" s="336">
        <f t="shared" ca="1" si="81"/>
        <v>0</v>
      </c>
      <c r="I427" s="337">
        <f t="shared" ca="1" si="82"/>
        <v>0</v>
      </c>
    </row>
    <row r="428" spans="1:9">
      <c r="A428" s="335">
        <f t="shared" si="83"/>
        <v>411</v>
      </c>
      <c r="B428" s="340">
        <f t="shared" si="84"/>
        <v>58776</v>
      </c>
      <c r="C428" s="336">
        <f t="shared" ca="1" si="77"/>
        <v>0</v>
      </c>
      <c r="D428" s="335"/>
      <c r="E428" s="336">
        <f t="shared" ca="1" si="78"/>
        <v>0</v>
      </c>
      <c r="F428" s="336">
        <f t="shared" ca="1" si="79"/>
        <v>0</v>
      </c>
      <c r="G428" s="336">
        <f t="shared" ca="1" si="80"/>
        <v>0</v>
      </c>
      <c r="H428" s="336">
        <f t="shared" ca="1" si="81"/>
        <v>0</v>
      </c>
      <c r="I428" s="337">
        <f t="shared" ca="1" si="82"/>
        <v>0</v>
      </c>
    </row>
    <row r="429" spans="1:9">
      <c r="A429" s="335">
        <f t="shared" si="83"/>
        <v>412</v>
      </c>
      <c r="B429" s="340">
        <f t="shared" si="84"/>
        <v>58807</v>
      </c>
      <c r="C429" s="336">
        <f t="shared" ca="1" si="77"/>
        <v>0</v>
      </c>
      <c r="D429" s="335"/>
      <c r="E429" s="336">
        <f t="shared" si="78"/>
        <v>0</v>
      </c>
      <c r="F429" s="336">
        <f t="shared" ca="1" si="79"/>
        <v>0</v>
      </c>
      <c r="G429" s="336">
        <f t="shared" ca="1" si="80"/>
        <v>0</v>
      </c>
      <c r="H429" s="336">
        <f t="shared" ca="1" si="81"/>
        <v>0</v>
      </c>
      <c r="I429" s="337">
        <f t="shared" ca="1" si="82"/>
        <v>0</v>
      </c>
    </row>
    <row r="430" spans="1:9">
      <c r="A430" s="335">
        <f t="shared" si="83"/>
        <v>413</v>
      </c>
      <c r="B430" s="340">
        <f t="shared" si="84"/>
        <v>58838</v>
      </c>
      <c r="C430" s="336">
        <f t="shared" ca="1" si="77"/>
        <v>0</v>
      </c>
      <c r="D430" s="335"/>
      <c r="E430" s="336">
        <f t="shared" si="78"/>
        <v>0</v>
      </c>
      <c r="F430" s="336">
        <f t="shared" ca="1" si="79"/>
        <v>0</v>
      </c>
      <c r="G430" s="336">
        <f t="shared" ca="1" si="80"/>
        <v>0</v>
      </c>
      <c r="H430" s="336">
        <f t="shared" ca="1" si="81"/>
        <v>0</v>
      </c>
      <c r="I430" s="337">
        <f t="shared" ca="1" si="82"/>
        <v>0</v>
      </c>
    </row>
    <row r="431" spans="1:9">
      <c r="A431" s="335">
        <f t="shared" si="83"/>
        <v>414</v>
      </c>
      <c r="B431" s="340">
        <f t="shared" si="84"/>
        <v>58866</v>
      </c>
      <c r="C431" s="336">
        <f t="shared" ca="1" si="77"/>
        <v>0</v>
      </c>
      <c r="D431" s="335"/>
      <c r="E431" s="336">
        <f t="shared" ca="1" si="78"/>
        <v>0</v>
      </c>
      <c r="F431" s="336">
        <f t="shared" ca="1" si="79"/>
        <v>0</v>
      </c>
      <c r="G431" s="336">
        <f t="shared" ca="1" si="80"/>
        <v>0</v>
      </c>
      <c r="H431" s="336">
        <f t="shared" ca="1" si="81"/>
        <v>0</v>
      </c>
      <c r="I431" s="337">
        <f t="shared" ca="1" si="82"/>
        <v>0</v>
      </c>
    </row>
    <row r="432" spans="1:9">
      <c r="A432" s="335">
        <f t="shared" si="83"/>
        <v>415</v>
      </c>
      <c r="B432" s="340">
        <f t="shared" si="84"/>
        <v>58897</v>
      </c>
      <c r="C432" s="336">
        <f t="shared" ca="1" si="77"/>
        <v>0</v>
      </c>
      <c r="D432" s="335"/>
      <c r="E432" s="336">
        <f t="shared" si="78"/>
        <v>0</v>
      </c>
      <c r="F432" s="336">
        <f t="shared" ca="1" si="79"/>
        <v>0</v>
      </c>
      <c r="G432" s="336">
        <f t="shared" ca="1" si="80"/>
        <v>0</v>
      </c>
      <c r="H432" s="336">
        <f t="shared" ca="1" si="81"/>
        <v>0</v>
      </c>
      <c r="I432" s="337">
        <f t="shared" ca="1" si="82"/>
        <v>0</v>
      </c>
    </row>
    <row r="433" spans="1:9">
      <c r="A433" s="335">
        <f t="shared" si="83"/>
        <v>416</v>
      </c>
      <c r="B433" s="340">
        <f t="shared" si="84"/>
        <v>58927</v>
      </c>
      <c r="C433" s="336">
        <f t="shared" ca="1" si="77"/>
        <v>0</v>
      </c>
      <c r="D433" s="335"/>
      <c r="E433" s="336">
        <f t="shared" si="78"/>
        <v>0</v>
      </c>
      <c r="F433" s="336">
        <f t="shared" ca="1" si="79"/>
        <v>0</v>
      </c>
      <c r="G433" s="336">
        <f t="shared" ca="1" si="80"/>
        <v>0</v>
      </c>
      <c r="H433" s="336">
        <f t="shared" ca="1" si="81"/>
        <v>0</v>
      </c>
      <c r="I433" s="337">
        <f t="shared" ca="1" si="82"/>
        <v>0</v>
      </c>
    </row>
    <row r="434" spans="1:9">
      <c r="A434" s="335">
        <f t="shared" si="83"/>
        <v>417</v>
      </c>
      <c r="B434" s="340">
        <f t="shared" si="84"/>
        <v>58958</v>
      </c>
      <c r="C434" s="336">
        <f t="shared" ca="1" si="77"/>
        <v>0</v>
      </c>
      <c r="D434" s="335"/>
      <c r="E434" s="336">
        <f t="shared" ca="1" si="78"/>
        <v>0</v>
      </c>
      <c r="F434" s="336">
        <f t="shared" ca="1" si="79"/>
        <v>0</v>
      </c>
      <c r="G434" s="336">
        <f t="shared" ca="1" si="80"/>
        <v>0</v>
      </c>
      <c r="H434" s="336">
        <f t="shared" ca="1" si="81"/>
        <v>0</v>
      </c>
      <c r="I434" s="337">
        <f t="shared" ca="1" si="82"/>
        <v>0</v>
      </c>
    </row>
    <row r="435" spans="1:9">
      <c r="A435" s="335">
        <f t="shared" si="83"/>
        <v>418</v>
      </c>
      <c r="B435" s="340">
        <f t="shared" si="84"/>
        <v>58988</v>
      </c>
      <c r="C435" s="336">
        <f t="shared" ca="1" si="77"/>
        <v>0</v>
      </c>
      <c r="D435" s="335"/>
      <c r="E435" s="336">
        <f t="shared" si="78"/>
        <v>0</v>
      </c>
      <c r="F435" s="336">
        <f t="shared" ca="1" si="79"/>
        <v>0</v>
      </c>
      <c r="G435" s="336">
        <f t="shared" ca="1" si="80"/>
        <v>0</v>
      </c>
      <c r="H435" s="336">
        <f t="shared" ca="1" si="81"/>
        <v>0</v>
      </c>
      <c r="I435" s="337">
        <f t="shared" ca="1" si="82"/>
        <v>0</v>
      </c>
    </row>
    <row r="436" spans="1:9">
      <c r="A436" s="335">
        <f t="shared" si="83"/>
        <v>419</v>
      </c>
      <c r="B436" s="340">
        <f t="shared" si="84"/>
        <v>59019</v>
      </c>
      <c r="C436" s="336">
        <f t="shared" ca="1" si="77"/>
        <v>0</v>
      </c>
      <c r="D436" s="335"/>
      <c r="E436" s="336">
        <f t="shared" si="78"/>
        <v>0</v>
      </c>
      <c r="F436" s="336">
        <f t="shared" ca="1" si="79"/>
        <v>0</v>
      </c>
      <c r="G436" s="336">
        <f t="shared" ca="1" si="80"/>
        <v>0</v>
      </c>
      <c r="H436" s="336">
        <f t="shared" ca="1" si="81"/>
        <v>0</v>
      </c>
      <c r="I436" s="337">
        <f t="shared" ca="1" si="82"/>
        <v>0</v>
      </c>
    </row>
    <row r="437" spans="1:9">
      <c r="A437" s="335">
        <f t="shared" si="83"/>
        <v>420</v>
      </c>
      <c r="B437" s="340">
        <f t="shared" si="84"/>
        <v>59050</v>
      </c>
      <c r="C437" s="336">
        <f t="shared" ca="1" si="77"/>
        <v>0</v>
      </c>
      <c r="D437" s="335"/>
      <c r="E437" s="336">
        <f t="shared" ca="1" si="78"/>
        <v>0</v>
      </c>
      <c r="F437" s="336">
        <f t="shared" ca="1" si="79"/>
        <v>0</v>
      </c>
      <c r="G437" s="336">
        <f t="shared" ca="1" si="80"/>
        <v>0</v>
      </c>
      <c r="H437" s="336">
        <f t="shared" ca="1" si="81"/>
        <v>0</v>
      </c>
      <c r="I437" s="337">
        <f t="shared" ca="1" si="82"/>
        <v>0</v>
      </c>
    </row>
    <row r="438" spans="1:9">
      <c r="A438" s="335">
        <f t="shared" si="83"/>
        <v>421</v>
      </c>
      <c r="B438" s="340">
        <f t="shared" si="84"/>
        <v>59080</v>
      </c>
      <c r="C438" s="336">
        <f t="shared" ca="1" si="77"/>
        <v>0</v>
      </c>
      <c r="D438" s="335"/>
      <c r="E438" s="336">
        <f t="shared" si="78"/>
        <v>0</v>
      </c>
      <c r="F438" s="336">
        <f t="shared" ca="1" si="79"/>
        <v>0</v>
      </c>
      <c r="G438" s="336">
        <f t="shared" ca="1" si="80"/>
        <v>0</v>
      </c>
      <c r="H438" s="336">
        <f t="shared" ca="1" si="81"/>
        <v>0</v>
      </c>
      <c r="I438" s="337">
        <f t="shared" ca="1" si="82"/>
        <v>0</v>
      </c>
    </row>
    <row r="439" spans="1:9">
      <c r="A439" s="335">
        <f t="shared" si="83"/>
        <v>422</v>
      </c>
      <c r="B439" s="340">
        <f t="shared" si="84"/>
        <v>59111</v>
      </c>
      <c r="C439" s="336">
        <f t="shared" ca="1" si="77"/>
        <v>0</v>
      </c>
      <c r="D439" s="335"/>
      <c r="E439" s="336">
        <f t="shared" si="78"/>
        <v>0</v>
      </c>
      <c r="F439" s="336">
        <f t="shared" ca="1" si="79"/>
        <v>0</v>
      </c>
      <c r="G439" s="336">
        <f t="shared" ca="1" si="80"/>
        <v>0</v>
      </c>
      <c r="H439" s="336">
        <f t="shared" ca="1" si="81"/>
        <v>0</v>
      </c>
      <c r="I439" s="337">
        <f t="shared" ca="1" si="82"/>
        <v>0</v>
      </c>
    </row>
    <row r="440" spans="1:9">
      <c r="A440" s="335">
        <f t="shared" si="83"/>
        <v>423</v>
      </c>
      <c r="B440" s="340">
        <f t="shared" si="84"/>
        <v>59141</v>
      </c>
      <c r="C440" s="336">
        <f t="shared" ca="1" si="77"/>
        <v>0</v>
      </c>
      <c r="D440" s="335"/>
      <c r="E440" s="336">
        <f t="shared" ca="1" si="78"/>
        <v>0</v>
      </c>
      <c r="F440" s="336">
        <f t="shared" ca="1" si="79"/>
        <v>0</v>
      </c>
      <c r="G440" s="336">
        <f t="shared" ca="1" si="80"/>
        <v>0</v>
      </c>
      <c r="H440" s="336">
        <f t="shared" ca="1" si="81"/>
        <v>0</v>
      </c>
      <c r="I440" s="337">
        <f t="shared" ca="1" si="82"/>
        <v>0</v>
      </c>
    </row>
    <row r="441" spans="1:9">
      <c r="A441" s="335">
        <f t="shared" si="83"/>
        <v>424</v>
      </c>
      <c r="B441" s="340">
        <f t="shared" si="84"/>
        <v>59172</v>
      </c>
      <c r="C441" s="336">
        <f t="shared" ca="1" si="77"/>
        <v>0</v>
      </c>
      <c r="D441" s="335"/>
      <c r="E441" s="336">
        <f t="shared" si="78"/>
        <v>0</v>
      </c>
      <c r="F441" s="336">
        <f t="shared" ca="1" si="79"/>
        <v>0</v>
      </c>
      <c r="G441" s="336">
        <f t="shared" ca="1" si="80"/>
        <v>0</v>
      </c>
      <c r="H441" s="336">
        <f t="shared" ca="1" si="81"/>
        <v>0</v>
      </c>
      <c r="I441" s="337">
        <f t="shared" ca="1" si="82"/>
        <v>0</v>
      </c>
    </row>
    <row r="442" spans="1:9">
      <c r="A442" s="335">
        <f t="shared" si="83"/>
        <v>425</v>
      </c>
      <c r="B442" s="340">
        <f t="shared" si="84"/>
        <v>59203</v>
      </c>
      <c r="C442" s="336">
        <f t="shared" ca="1" si="77"/>
        <v>0</v>
      </c>
      <c r="D442" s="335"/>
      <c r="E442" s="336">
        <f t="shared" si="78"/>
        <v>0</v>
      </c>
      <c r="F442" s="336">
        <f t="shared" ca="1" si="79"/>
        <v>0</v>
      </c>
      <c r="G442" s="336">
        <f t="shared" ca="1" si="80"/>
        <v>0</v>
      </c>
      <c r="H442" s="336">
        <f t="shared" ca="1" si="81"/>
        <v>0</v>
      </c>
      <c r="I442" s="337">
        <f t="shared" ca="1" si="82"/>
        <v>0</v>
      </c>
    </row>
    <row r="443" spans="1:9">
      <c r="A443" s="335">
        <f t="shared" si="83"/>
        <v>426</v>
      </c>
      <c r="B443" s="340">
        <f t="shared" si="84"/>
        <v>59231</v>
      </c>
      <c r="C443" s="336">
        <f t="shared" ca="1" si="77"/>
        <v>0</v>
      </c>
      <c r="D443" s="335"/>
      <c r="E443" s="336">
        <f t="shared" ca="1" si="78"/>
        <v>0</v>
      </c>
      <c r="F443" s="336">
        <f t="shared" ca="1" si="79"/>
        <v>0</v>
      </c>
      <c r="G443" s="336">
        <f t="shared" ca="1" si="80"/>
        <v>0</v>
      </c>
      <c r="H443" s="336">
        <f t="shared" ca="1" si="81"/>
        <v>0</v>
      </c>
      <c r="I443" s="337">
        <f t="shared" ca="1" si="82"/>
        <v>0</v>
      </c>
    </row>
    <row r="444" spans="1:9">
      <c r="A444" s="335">
        <f t="shared" si="83"/>
        <v>427</v>
      </c>
      <c r="B444" s="340">
        <f t="shared" si="84"/>
        <v>59262</v>
      </c>
      <c r="C444" s="336">
        <f t="shared" ca="1" si="77"/>
        <v>0</v>
      </c>
      <c r="D444" s="335"/>
      <c r="E444" s="336">
        <f t="shared" si="78"/>
        <v>0</v>
      </c>
      <c r="F444" s="336">
        <f t="shared" ca="1" si="79"/>
        <v>0</v>
      </c>
      <c r="G444" s="336">
        <f t="shared" ca="1" si="80"/>
        <v>0</v>
      </c>
      <c r="H444" s="336">
        <f t="shared" ca="1" si="81"/>
        <v>0</v>
      </c>
      <c r="I444" s="337">
        <f t="shared" ca="1" si="82"/>
        <v>0</v>
      </c>
    </row>
    <row r="445" spans="1:9">
      <c r="A445" s="335">
        <f t="shared" si="83"/>
        <v>428</v>
      </c>
      <c r="B445" s="340">
        <f t="shared" si="84"/>
        <v>59292</v>
      </c>
      <c r="C445" s="336">
        <f t="shared" ca="1" si="77"/>
        <v>0</v>
      </c>
      <c r="D445" s="335"/>
      <c r="E445" s="336">
        <f t="shared" si="78"/>
        <v>0</v>
      </c>
      <c r="F445" s="336">
        <f t="shared" ca="1" si="79"/>
        <v>0</v>
      </c>
      <c r="G445" s="336">
        <f t="shared" ca="1" si="80"/>
        <v>0</v>
      </c>
      <c r="H445" s="336">
        <f t="shared" ca="1" si="81"/>
        <v>0</v>
      </c>
      <c r="I445" s="337">
        <f t="shared" ca="1" si="82"/>
        <v>0</v>
      </c>
    </row>
    <row r="446" spans="1:9">
      <c r="A446" s="335">
        <f t="shared" si="83"/>
        <v>429</v>
      </c>
      <c r="B446" s="340">
        <f t="shared" si="84"/>
        <v>59323</v>
      </c>
      <c r="C446" s="336">
        <f t="shared" ref="C446:C480" ca="1" si="85">IF(H445=0,0,H445)</f>
        <v>0</v>
      </c>
      <c r="D446" s="335"/>
      <c r="E446" s="336">
        <f t="shared" ref="E446:E480" ca="1" si="86">IF($D$10=1,
 IF(OR(MONTH(B446)=MONTH(EDATE($D$7,0)),MONTH(B446)=MONTH(EDATE($D$7,3)),MONTH(B446)=MONTH(EDATE($D$7,6)),MONTH(B446)=MONTH(EDATE($D$7,9))),(MIN($D$305,H445)),0),
IF($D$10=0,
 IF(OR(MONTH(B446)=MONTH(EDATE($D$7,2)),MONTH(B446)=MONTH(EDATE($D$7,5)),MONTH(B446)=MONTH(EDATE($D$7,8)),MONTH(B446)=MONTH(EDATE($D$7,11))),(MIN($D$305,H445)),0)))</f>
        <v>0</v>
      </c>
      <c r="F446" s="336">
        <f t="shared" ref="F446:F480" ca="1" si="87">IF(E446="","",E446-G446)</f>
        <v>0</v>
      </c>
      <c r="G446" s="336">
        <f t="shared" ref="G446:G480" ca="1" si="88">ROUND((C446-E446)*$D$5,3)</f>
        <v>0</v>
      </c>
      <c r="H446" s="336">
        <f t="shared" ref="H446:H480" ca="1" si="89">IF(E446="","",ROUND(H445-F446,4))</f>
        <v>0</v>
      </c>
      <c r="I446" s="337">
        <f t="shared" ref="I446:I480" ca="1" si="90">ROUND((D446-H446),0)</f>
        <v>0</v>
      </c>
    </row>
    <row r="447" spans="1:9">
      <c r="A447" s="335">
        <f t="shared" si="83"/>
        <v>430</v>
      </c>
      <c r="B447" s="340">
        <f t="shared" si="84"/>
        <v>59353</v>
      </c>
      <c r="C447" s="336">
        <f t="shared" ca="1" si="85"/>
        <v>0</v>
      </c>
      <c r="D447" s="335"/>
      <c r="E447" s="336">
        <f t="shared" si="86"/>
        <v>0</v>
      </c>
      <c r="F447" s="336">
        <f t="shared" ca="1" si="87"/>
        <v>0</v>
      </c>
      <c r="G447" s="336">
        <f t="shared" ca="1" si="88"/>
        <v>0</v>
      </c>
      <c r="H447" s="336">
        <f t="shared" ca="1" si="89"/>
        <v>0</v>
      </c>
      <c r="I447" s="337">
        <f t="shared" ca="1" si="90"/>
        <v>0</v>
      </c>
    </row>
    <row r="448" spans="1:9">
      <c r="A448" s="335">
        <f t="shared" si="83"/>
        <v>431</v>
      </c>
      <c r="B448" s="340">
        <f t="shared" si="84"/>
        <v>59384</v>
      </c>
      <c r="C448" s="336">
        <f t="shared" ca="1" si="85"/>
        <v>0</v>
      </c>
      <c r="D448" s="335"/>
      <c r="E448" s="336">
        <f t="shared" si="86"/>
        <v>0</v>
      </c>
      <c r="F448" s="336">
        <f t="shared" ca="1" si="87"/>
        <v>0</v>
      </c>
      <c r="G448" s="336">
        <f t="shared" ca="1" si="88"/>
        <v>0</v>
      </c>
      <c r="H448" s="336">
        <f t="shared" ca="1" si="89"/>
        <v>0</v>
      </c>
      <c r="I448" s="337">
        <f t="shared" ca="1" si="90"/>
        <v>0</v>
      </c>
    </row>
    <row r="449" spans="1:9">
      <c r="A449" s="335">
        <f t="shared" si="83"/>
        <v>432</v>
      </c>
      <c r="B449" s="340">
        <f t="shared" si="84"/>
        <v>59415</v>
      </c>
      <c r="C449" s="336">
        <f t="shared" ca="1" si="85"/>
        <v>0</v>
      </c>
      <c r="D449" s="335"/>
      <c r="E449" s="336">
        <f t="shared" ca="1" si="86"/>
        <v>0</v>
      </c>
      <c r="F449" s="336">
        <f t="shared" ca="1" si="87"/>
        <v>0</v>
      </c>
      <c r="G449" s="336">
        <f t="shared" ca="1" si="88"/>
        <v>0</v>
      </c>
      <c r="H449" s="336">
        <f t="shared" ca="1" si="89"/>
        <v>0</v>
      </c>
      <c r="I449" s="337">
        <f t="shared" ca="1" si="90"/>
        <v>0</v>
      </c>
    </row>
    <row r="450" spans="1:9">
      <c r="A450" s="335">
        <f t="shared" si="83"/>
        <v>433</v>
      </c>
      <c r="B450" s="340">
        <f t="shared" si="84"/>
        <v>59445</v>
      </c>
      <c r="C450" s="336">
        <f t="shared" ca="1" si="85"/>
        <v>0</v>
      </c>
      <c r="D450" s="335"/>
      <c r="E450" s="336">
        <f t="shared" si="86"/>
        <v>0</v>
      </c>
      <c r="F450" s="336">
        <f t="shared" ca="1" si="87"/>
        <v>0</v>
      </c>
      <c r="G450" s="336">
        <f t="shared" ca="1" si="88"/>
        <v>0</v>
      </c>
      <c r="H450" s="336">
        <f t="shared" ca="1" si="89"/>
        <v>0</v>
      </c>
      <c r="I450" s="337">
        <f t="shared" ca="1" si="90"/>
        <v>0</v>
      </c>
    </row>
    <row r="451" spans="1:9">
      <c r="A451" s="335">
        <f t="shared" si="83"/>
        <v>434</v>
      </c>
      <c r="B451" s="340">
        <f t="shared" si="84"/>
        <v>59476</v>
      </c>
      <c r="C451" s="336">
        <f t="shared" ca="1" si="85"/>
        <v>0</v>
      </c>
      <c r="D451" s="335"/>
      <c r="E451" s="336">
        <f t="shared" si="86"/>
        <v>0</v>
      </c>
      <c r="F451" s="336">
        <f t="shared" ca="1" si="87"/>
        <v>0</v>
      </c>
      <c r="G451" s="336">
        <f t="shared" ca="1" si="88"/>
        <v>0</v>
      </c>
      <c r="H451" s="336">
        <f t="shared" ca="1" si="89"/>
        <v>0</v>
      </c>
      <c r="I451" s="337">
        <f t="shared" ca="1" si="90"/>
        <v>0</v>
      </c>
    </row>
    <row r="452" spans="1:9">
      <c r="A452" s="335">
        <f t="shared" si="83"/>
        <v>435</v>
      </c>
      <c r="B452" s="340">
        <f t="shared" si="84"/>
        <v>59506</v>
      </c>
      <c r="C452" s="336">
        <f t="shared" ca="1" si="85"/>
        <v>0</v>
      </c>
      <c r="D452" s="335"/>
      <c r="E452" s="336">
        <f t="shared" ca="1" si="86"/>
        <v>0</v>
      </c>
      <c r="F452" s="336">
        <f t="shared" ca="1" si="87"/>
        <v>0</v>
      </c>
      <c r="G452" s="336">
        <f t="shared" ca="1" si="88"/>
        <v>0</v>
      </c>
      <c r="H452" s="336">
        <f t="shared" ca="1" si="89"/>
        <v>0</v>
      </c>
      <c r="I452" s="337">
        <f t="shared" ca="1" si="90"/>
        <v>0</v>
      </c>
    </row>
    <row r="453" spans="1:9">
      <c r="A453" s="335">
        <f t="shared" si="83"/>
        <v>436</v>
      </c>
      <c r="B453" s="340">
        <f t="shared" si="84"/>
        <v>59537</v>
      </c>
      <c r="C453" s="336">
        <f t="shared" ca="1" si="85"/>
        <v>0</v>
      </c>
      <c r="D453" s="335"/>
      <c r="E453" s="336">
        <f t="shared" si="86"/>
        <v>0</v>
      </c>
      <c r="F453" s="336">
        <f t="shared" ca="1" si="87"/>
        <v>0</v>
      </c>
      <c r="G453" s="336">
        <f t="shared" ca="1" si="88"/>
        <v>0</v>
      </c>
      <c r="H453" s="336">
        <f t="shared" ca="1" si="89"/>
        <v>0</v>
      </c>
      <c r="I453" s="337">
        <f t="shared" ca="1" si="90"/>
        <v>0</v>
      </c>
    </row>
    <row r="454" spans="1:9">
      <c r="A454" s="335">
        <f t="shared" si="83"/>
        <v>437</v>
      </c>
      <c r="B454" s="340">
        <f t="shared" si="84"/>
        <v>59568</v>
      </c>
      <c r="C454" s="336">
        <f t="shared" ca="1" si="85"/>
        <v>0</v>
      </c>
      <c r="D454" s="335"/>
      <c r="E454" s="336">
        <f t="shared" si="86"/>
        <v>0</v>
      </c>
      <c r="F454" s="336">
        <f t="shared" ca="1" si="87"/>
        <v>0</v>
      </c>
      <c r="G454" s="336">
        <f t="shared" ca="1" si="88"/>
        <v>0</v>
      </c>
      <c r="H454" s="336">
        <f t="shared" ca="1" si="89"/>
        <v>0</v>
      </c>
      <c r="I454" s="337">
        <f t="shared" ca="1" si="90"/>
        <v>0</v>
      </c>
    </row>
    <row r="455" spans="1:9">
      <c r="A455" s="335">
        <f t="shared" si="83"/>
        <v>438</v>
      </c>
      <c r="B455" s="340">
        <f t="shared" si="84"/>
        <v>59596</v>
      </c>
      <c r="C455" s="336">
        <f t="shared" ca="1" si="85"/>
        <v>0</v>
      </c>
      <c r="D455" s="335"/>
      <c r="E455" s="336">
        <f t="shared" ca="1" si="86"/>
        <v>0</v>
      </c>
      <c r="F455" s="336">
        <f t="shared" ca="1" si="87"/>
        <v>0</v>
      </c>
      <c r="G455" s="336">
        <f t="shared" ca="1" si="88"/>
        <v>0</v>
      </c>
      <c r="H455" s="336">
        <f t="shared" ca="1" si="89"/>
        <v>0</v>
      </c>
      <c r="I455" s="337">
        <f t="shared" ca="1" si="90"/>
        <v>0</v>
      </c>
    </row>
    <row r="456" spans="1:9">
      <c r="A456" s="335">
        <f t="shared" si="83"/>
        <v>439</v>
      </c>
      <c r="B456" s="340">
        <f t="shared" si="84"/>
        <v>59627</v>
      </c>
      <c r="C456" s="336">
        <f t="shared" ca="1" si="85"/>
        <v>0</v>
      </c>
      <c r="D456" s="335"/>
      <c r="E456" s="336">
        <f t="shared" si="86"/>
        <v>0</v>
      </c>
      <c r="F456" s="336">
        <f t="shared" ca="1" si="87"/>
        <v>0</v>
      </c>
      <c r="G456" s="336">
        <f t="shared" ca="1" si="88"/>
        <v>0</v>
      </c>
      <c r="H456" s="336">
        <f t="shared" ca="1" si="89"/>
        <v>0</v>
      </c>
      <c r="I456" s="337">
        <f t="shared" ca="1" si="90"/>
        <v>0</v>
      </c>
    </row>
    <row r="457" spans="1:9">
      <c r="A457" s="335">
        <f t="shared" si="83"/>
        <v>440</v>
      </c>
      <c r="B457" s="340">
        <f t="shared" si="84"/>
        <v>59657</v>
      </c>
      <c r="C457" s="336">
        <f t="shared" ca="1" si="85"/>
        <v>0</v>
      </c>
      <c r="D457" s="335"/>
      <c r="E457" s="336">
        <f t="shared" si="86"/>
        <v>0</v>
      </c>
      <c r="F457" s="336">
        <f t="shared" ca="1" si="87"/>
        <v>0</v>
      </c>
      <c r="G457" s="336">
        <f t="shared" ca="1" si="88"/>
        <v>0</v>
      </c>
      <c r="H457" s="336">
        <f t="shared" ca="1" si="89"/>
        <v>0</v>
      </c>
      <c r="I457" s="337">
        <f t="shared" ca="1" si="90"/>
        <v>0</v>
      </c>
    </row>
    <row r="458" spans="1:9">
      <c r="A458" s="335">
        <f t="shared" si="83"/>
        <v>441</v>
      </c>
      <c r="B458" s="340">
        <f t="shared" si="84"/>
        <v>59688</v>
      </c>
      <c r="C458" s="336">
        <f t="shared" ca="1" si="85"/>
        <v>0</v>
      </c>
      <c r="D458" s="335"/>
      <c r="E458" s="336">
        <f t="shared" ca="1" si="86"/>
        <v>0</v>
      </c>
      <c r="F458" s="336">
        <f t="shared" ca="1" si="87"/>
        <v>0</v>
      </c>
      <c r="G458" s="336">
        <f t="shared" ca="1" si="88"/>
        <v>0</v>
      </c>
      <c r="H458" s="336">
        <f t="shared" ca="1" si="89"/>
        <v>0</v>
      </c>
      <c r="I458" s="337">
        <f t="shared" ca="1" si="90"/>
        <v>0</v>
      </c>
    </row>
    <row r="459" spans="1:9">
      <c r="A459" s="335">
        <f t="shared" si="83"/>
        <v>442</v>
      </c>
      <c r="B459" s="340">
        <f t="shared" si="84"/>
        <v>59718</v>
      </c>
      <c r="C459" s="336">
        <f t="shared" ca="1" si="85"/>
        <v>0</v>
      </c>
      <c r="D459" s="335"/>
      <c r="E459" s="336">
        <f t="shared" si="86"/>
        <v>0</v>
      </c>
      <c r="F459" s="336">
        <f t="shared" ca="1" si="87"/>
        <v>0</v>
      </c>
      <c r="G459" s="336">
        <f t="shared" ca="1" si="88"/>
        <v>0</v>
      </c>
      <c r="H459" s="336">
        <f t="shared" ca="1" si="89"/>
        <v>0</v>
      </c>
      <c r="I459" s="337">
        <f t="shared" ca="1" si="90"/>
        <v>0</v>
      </c>
    </row>
    <row r="460" spans="1:9">
      <c r="A460" s="335">
        <f t="shared" si="83"/>
        <v>443</v>
      </c>
      <c r="B460" s="340">
        <f t="shared" si="84"/>
        <v>59749</v>
      </c>
      <c r="C460" s="336">
        <f t="shared" ca="1" si="85"/>
        <v>0</v>
      </c>
      <c r="D460" s="335"/>
      <c r="E460" s="336">
        <f t="shared" si="86"/>
        <v>0</v>
      </c>
      <c r="F460" s="336">
        <f t="shared" ca="1" si="87"/>
        <v>0</v>
      </c>
      <c r="G460" s="336">
        <f t="shared" ca="1" si="88"/>
        <v>0</v>
      </c>
      <c r="H460" s="336">
        <f t="shared" ca="1" si="89"/>
        <v>0</v>
      </c>
      <c r="I460" s="337">
        <f t="shared" ca="1" si="90"/>
        <v>0</v>
      </c>
    </row>
    <row r="461" spans="1:9">
      <c r="A461" s="335">
        <f t="shared" si="83"/>
        <v>444</v>
      </c>
      <c r="B461" s="340">
        <f t="shared" si="84"/>
        <v>59780</v>
      </c>
      <c r="C461" s="336">
        <f t="shared" ca="1" si="85"/>
        <v>0</v>
      </c>
      <c r="D461" s="335"/>
      <c r="E461" s="336">
        <f t="shared" ca="1" si="86"/>
        <v>0</v>
      </c>
      <c r="F461" s="336">
        <f t="shared" ca="1" si="87"/>
        <v>0</v>
      </c>
      <c r="G461" s="336">
        <f t="shared" ca="1" si="88"/>
        <v>0</v>
      </c>
      <c r="H461" s="336">
        <f t="shared" ca="1" si="89"/>
        <v>0</v>
      </c>
      <c r="I461" s="337">
        <f t="shared" ca="1" si="90"/>
        <v>0</v>
      </c>
    </row>
    <row r="462" spans="1:9">
      <c r="A462" s="335">
        <f t="shared" si="83"/>
        <v>445</v>
      </c>
      <c r="B462" s="340">
        <f t="shared" si="84"/>
        <v>59810</v>
      </c>
      <c r="C462" s="336">
        <f t="shared" ca="1" si="85"/>
        <v>0</v>
      </c>
      <c r="D462" s="335"/>
      <c r="E462" s="336">
        <f t="shared" si="86"/>
        <v>0</v>
      </c>
      <c r="F462" s="336">
        <f t="shared" ca="1" si="87"/>
        <v>0</v>
      </c>
      <c r="G462" s="336">
        <f t="shared" ca="1" si="88"/>
        <v>0</v>
      </c>
      <c r="H462" s="336">
        <f t="shared" ca="1" si="89"/>
        <v>0</v>
      </c>
      <c r="I462" s="337">
        <f t="shared" ca="1" si="90"/>
        <v>0</v>
      </c>
    </row>
    <row r="463" spans="1:9">
      <c r="A463" s="335">
        <f t="shared" si="83"/>
        <v>446</v>
      </c>
      <c r="B463" s="340">
        <f t="shared" si="84"/>
        <v>59841</v>
      </c>
      <c r="C463" s="336">
        <f t="shared" ca="1" si="85"/>
        <v>0</v>
      </c>
      <c r="D463" s="335"/>
      <c r="E463" s="336">
        <f t="shared" si="86"/>
        <v>0</v>
      </c>
      <c r="F463" s="336">
        <f t="shared" ca="1" si="87"/>
        <v>0</v>
      </c>
      <c r="G463" s="336">
        <f t="shared" ca="1" si="88"/>
        <v>0</v>
      </c>
      <c r="H463" s="336">
        <f t="shared" ca="1" si="89"/>
        <v>0</v>
      </c>
      <c r="I463" s="337">
        <f t="shared" ca="1" si="90"/>
        <v>0</v>
      </c>
    </row>
    <row r="464" spans="1:9">
      <c r="A464" s="335">
        <f t="shared" si="83"/>
        <v>447</v>
      </c>
      <c r="B464" s="340">
        <f t="shared" si="84"/>
        <v>59871</v>
      </c>
      <c r="C464" s="336">
        <f t="shared" ca="1" si="85"/>
        <v>0</v>
      </c>
      <c r="D464" s="335"/>
      <c r="E464" s="336">
        <f t="shared" ca="1" si="86"/>
        <v>0</v>
      </c>
      <c r="F464" s="336">
        <f t="shared" ca="1" si="87"/>
        <v>0</v>
      </c>
      <c r="G464" s="336">
        <f t="shared" ca="1" si="88"/>
        <v>0</v>
      </c>
      <c r="H464" s="336">
        <f t="shared" ca="1" si="89"/>
        <v>0</v>
      </c>
      <c r="I464" s="337">
        <f t="shared" ca="1" si="90"/>
        <v>0</v>
      </c>
    </row>
    <row r="465" spans="1:9">
      <c r="A465" s="335">
        <f t="shared" si="83"/>
        <v>448</v>
      </c>
      <c r="B465" s="340">
        <f t="shared" si="84"/>
        <v>59902</v>
      </c>
      <c r="C465" s="336">
        <f t="shared" ca="1" si="85"/>
        <v>0</v>
      </c>
      <c r="D465" s="335"/>
      <c r="E465" s="336">
        <f t="shared" si="86"/>
        <v>0</v>
      </c>
      <c r="F465" s="336">
        <f t="shared" ca="1" si="87"/>
        <v>0</v>
      </c>
      <c r="G465" s="336">
        <f t="shared" ca="1" si="88"/>
        <v>0</v>
      </c>
      <c r="H465" s="336">
        <f t="shared" ca="1" si="89"/>
        <v>0</v>
      </c>
      <c r="I465" s="337">
        <f t="shared" ca="1" si="90"/>
        <v>0</v>
      </c>
    </row>
    <row r="466" spans="1:9">
      <c r="A466" s="335">
        <f t="shared" ref="A466:A497" si="91">IF(A465="","",IF(A465=$D$6,"",A465+1))</f>
        <v>449</v>
      </c>
      <c r="B466" s="340">
        <f t="shared" si="84"/>
        <v>59933</v>
      </c>
      <c r="C466" s="336">
        <f t="shared" ca="1" si="85"/>
        <v>0</v>
      </c>
      <c r="D466" s="335"/>
      <c r="E466" s="336">
        <f t="shared" si="86"/>
        <v>0</v>
      </c>
      <c r="F466" s="336">
        <f t="shared" ca="1" si="87"/>
        <v>0</v>
      </c>
      <c r="G466" s="336">
        <f t="shared" ca="1" si="88"/>
        <v>0</v>
      </c>
      <c r="H466" s="336">
        <f t="shared" ca="1" si="89"/>
        <v>0</v>
      </c>
      <c r="I466" s="337">
        <f t="shared" ca="1" si="90"/>
        <v>0</v>
      </c>
    </row>
    <row r="467" spans="1:9">
      <c r="A467" s="335">
        <f t="shared" si="91"/>
        <v>450</v>
      </c>
      <c r="B467" s="340">
        <f t="shared" si="84"/>
        <v>59962</v>
      </c>
      <c r="C467" s="336">
        <f t="shared" ca="1" si="85"/>
        <v>0</v>
      </c>
      <c r="D467" s="335"/>
      <c r="E467" s="336">
        <f t="shared" ca="1" si="86"/>
        <v>0</v>
      </c>
      <c r="F467" s="336">
        <f t="shared" ca="1" si="87"/>
        <v>0</v>
      </c>
      <c r="G467" s="336">
        <f t="shared" ca="1" si="88"/>
        <v>0</v>
      </c>
      <c r="H467" s="336">
        <f t="shared" ca="1" si="89"/>
        <v>0</v>
      </c>
      <c r="I467" s="337">
        <f t="shared" ca="1" si="90"/>
        <v>0</v>
      </c>
    </row>
    <row r="468" spans="1:9">
      <c r="A468" s="335">
        <f t="shared" si="91"/>
        <v>451</v>
      </c>
      <c r="B468" s="340">
        <f t="shared" ref="B468:B497" si="92">DATE(YEAR(B467),MONTH(B467)+1,1)</f>
        <v>59993</v>
      </c>
      <c r="C468" s="336">
        <f t="shared" ca="1" si="85"/>
        <v>0</v>
      </c>
      <c r="D468" s="335"/>
      <c r="E468" s="336">
        <f t="shared" si="86"/>
        <v>0</v>
      </c>
      <c r="F468" s="336">
        <f t="shared" ca="1" si="87"/>
        <v>0</v>
      </c>
      <c r="G468" s="336">
        <f t="shared" ca="1" si="88"/>
        <v>0</v>
      </c>
      <c r="H468" s="336">
        <f t="shared" ca="1" si="89"/>
        <v>0</v>
      </c>
      <c r="I468" s="337">
        <f t="shared" ca="1" si="90"/>
        <v>0</v>
      </c>
    </row>
    <row r="469" spans="1:9">
      <c r="A469" s="335">
        <f t="shared" si="91"/>
        <v>452</v>
      </c>
      <c r="B469" s="340">
        <f t="shared" si="92"/>
        <v>60023</v>
      </c>
      <c r="C469" s="336">
        <f t="shared" ca="1" si="85"/>
        <v>0</v>
      </c>
      <c r="D469" s="335"/>
      <c r="E469" s="336">
        <f t="shared" si="86"/>
        <v>0</v>
      </c>
      <c r="F469" s="336">
        <f t="shared" ca="1" si="87"/>
        <v>0</v>
      </c>
      <c r="G469" s="336">
        <f t="shared" ca="1" si="88"/>
        <v>0</v>
      </c>
      <c r="H469" s="336">
        <f t="shared" ca="1" si="89"/>
        <v>0</v>
      </c>
      <c r="I469" s="337">
        <f t="shared" ca="1" si="90"/>
        <v>0</v>
      </c>
    </row>
    <row r="470" spans="1:9">
      <c r="A470" s="335">
        <f t="shared" si="91"/>
        <v>453</v>
      </c>
      <c r="B470" s="340">
        <f t="shared" si="92"/>
        <v>60054</v>
      </c>
      <c r="C470" s="336">
        <f t="shared" ca="1" si="85"/>
        <v>0</v>
      </c>
      <c r="D470" s="335"/>
      <c r="E470" s="336">
        <f t="shared" ca="1" si="86"/>
        <v>0</v>
      </c>
      <c r="F470" s="336">
        <f t="shared" ca="1" si="87"/>
        <v>0</v>
      </c>
      <c r="G470" s="336">
        <f t="shared" ca="1" si="88"/>
        <v>0</v>
      </c>
      <c r="H470" s="336">
        <f t="shared" ca="1" si="89"/>
        <v>0</v>
      </c>
      <c r="I470" s="337">
        <f t="shared" ca="1" si="90"/>
        <v>0</v>
      </c>
    </row>
    <row r="471" spans="1:9">
      <c r="A471" s="335">
        <f t="shared" si="91"/>
        <v>454</v>
      </c>
      <c r="B471" s="340">
        <f t="shared" si="92"/>
        <v>60084</v>
      </c>
      <c r="C471" s="336">
        <f t="shared" ca="1" si="85"/>
        <v>0</v>
      </c>
      <c r="D471" s="335"/>
      <c r="E471" s="336">
        <f t="shared" si="86"/>
        <v>0</v>
      </c>
      <c r="F471" s="336">
        <f t="shared" ca="1" si="87"/>
        <v>0</v>
      </c>
      <c r="G471" s="336">
        <f t="shared" ca="1" si="88"/>
        <v>0</v>
      </c>
      <c r="H471" s="336">
        <f t="shared" ca="1" si="89"/>
        <v>0</v>
      </c>
      <c r="I471" s="337">
        <f t="shared" ca="1" si="90"/>
        <v>0</v>
      </c>
    </row>
    <row r="472" spans="1:9">
      <c r="A472" s="335">
        <f t="shared" si="91"/>
        <v>455</v>
      </c>
      <c r="B472" s="340">
        <f t="shared" si="92"/>
        <v>60115</v>
      </c>
      <c r="C472" s="336">
        <f t="shared" ca="1" si="85"/>
        <v>0</v>
      </c>
      <c r="D472" s="335"/>
      <c r="E472" s="336">
        <f t="shared" si="86"/>
        <v>0</v>
      </c>
      <c r="F472" s="336">
        <f t="shared" ca="1" si="87"/>
        <v>0</v>
      </c>
      <c r="G472" s="336">
        <f t="shared" ca="1" si="88"/>
        <v>0</v>
      </c>
      <c r="H472" s="336">
        <f t="shared" ca="1" si="89"/>
        <v>0</v>
      </c>
      <c r="I472" s="337">
        <f t="shared" ca="1" si="90"/>
        <v>0</v>
      </c>
    </row>
    <row r="473" spans="1:9">
      <c r="A473" s="335">
        <f t="shared" si="91"/>
        <v>456</v>
      </c>
      <c r="B473" s="340">
        <f t="shared" si="92"/>
        <v>60146</v>
      </c>
      <c r="C473" s="336">
        <f t="shared" ca="1" si="85"/>
        <v>0</v>
      </c>
      <c r="D473" s="335"/>
      <c r="E473" s="336">
        <f t="shared" ca="1" si="86"/>
        <v>0</v>
      </c>
      <c r="F473" s="336">
        <f t="shared" ca="1" si="87"/>
        <v>0</v>
      </c>
      <c r="G473" s="336">
        <f t="shared" ca="1" si="88"/>
        <v>0</v>
      </c>
      <c r="H473" s="336">
        <f t="shared" ca="1" si="89"/>
        <v>0</v>
      </c>
      <c r="I473" s="337">
        <f t="shared" ca="1" si="90"/>
        <v>0</v>
      </c>
    </row>
    <row r="474" spans="1:9">
      <c r="A474" s="335">
        <f t="shared" si="91"/>
        <v>457</v>
      </c>
      <c r="B474" s="340">
        <f t="shared" si="92"/>
        <v>60176</v>
      </c>
      <c r="C474" s="336">
        <f t="shared" ca="1" si="85"/>
        <v>0</v>
      </c>
      <c r="D474" s="335"/>
      <c r="E474" s="336">
        <f t="shared" si="86"/>
        <v>0</v>
      </c>
      <c r="F474" s="336">
        <f t="shared" ca="1" si="87"/>
        <v>0</v>
      </c>
      <c r="G474" s="336">
        <f t="shared" ca="1" si="88"/>
        <v>0</v>
      </c>
      <c r="H474" s="336">
        <f t="shared" ca="1" si="89"/>
        <v>0</v>
      </c>
      <c r="I474" s="337">
        <f t="shared" ca="1" si="90"/>
        <v>0</v>
      </c>
    </row>
    <row r="475" spans="1:9">
      <c r="A475" s="335">
        <f t="shared" si="91"/>
        <v>458</v>
      </c>
      <c r="B475" s="340">
        <f t="shared" si="92"/>
        <v>60207</v>
      </c>
      <c r="C475" s="336">
        <f t="shared" ca="1" si="85"/>
        <v>0</v>
      </c>
      <c r="D475" s="335"/>
      <c r="E475" s="336">
        <f t="shared" si="86"/>
        <v>0</v>
      </c>
      <c r="F475" s="336">
        <f t="shared" ca="1" si="87"/>
        <v>0</v>
      </c>
      <c r="G475" s="336">
        <f t="shared" ca="1" si="88"/>
        <v>0</v>
      </c>
      <c r="H475" s="336">
        <f t="shared" ca="1" si="89"/>
        <v>0</v>
      </c>
      <c r="I475" s="337">
        <f t="shared" ca="1" si="90"/>
        <v>0</v>
      </c>
    </row>
    <row r="476" spans="1:9">
      <c r="A476" s="335">
        <f t="shared" si="91"/>
        <v>459</v>
      </c>
      <c r="B476" s="340">
        <f t="shared" si="92"/>
        <v>60237</v>
      </c>
      <c r="C476" s="336">
        <f t="shared" ca="1" si="85"/>
        <v>0</v>
      </c>
      <c r="D476" s="335"/>
      <c r="E476" s="336">
        <f t="shared" ca="1" si="86"/>
        <v>0</v>
      </c>
      <c r="F476" s="336">
        <f t="shared" ca="1" si="87"/>
        <v>0</v>
      </c>
      <c r="G476" s="336">
        <f t="shared" ca="1" si="88"/>
        <v>0</v>
      </c>
      <c r="H476" s="336">
        <f t="shared" ca="1" si="89"/>
        <v>0</v>
      </c>
      <c r="I476" s="337">
        <f t="shared" ca="1" si="90"/>
        <v>0</v>
      </c>
    </row>
    <row r="477" spans="1:9">
      <c r="A477" s="335">
        <f t="shared" si="91"/>
        <v>460</v>
      </c>
      <c r="B477" s="340">
        <f t="shared" si="92"/>
        <v>60268</v>
      </c>
      <c r="C477" s="336">
        <f t="shared" ca="1" si="85"/>
        <v>0</v>
      </c>
      <c r="D477" s="335"/>
      <c r="E477" s="336">
        <f t="shared" si="86"/>
        <v>0</v>
      </c>
      <c r="F477" s="336">
        <f t="shared" ca="1" si="87"/>
        <v>0</v>
      </c>
      <c r="G477" s="336">
        <f t="shared" ca="1" si="88"/>
        <v>0</v>
      </c>
      <c r="H477" s="336">
        <f t="shared" ca="1" si="89"/>
        <v>0</v>
      </c>
      <c r="I477" s="337">
        <f t="shared" ca="1" si="90"/>
        <v>0</v>
      </c>
    </row>
    <row r="478" spans="1:9">
      <c r="A478" s="335">
        <f t="shared" si="91"/>
        <v>461</v>
      </c>
      <c r="B478" s="340">
        <f t="shared" si="92"/>
        <v>60299</v>
      </c>
      <c r="C478" s="336">
        <f t="shared" ca="1" si="85"/>
        <v>0</v>
      </c>
      <c r="D478" s="335"/>
      <c r="E478" s="336">
        <f t="shared" si="86"/>
        <v>0</v>
      </c>
      <c r="F478" s="336">
        <f t="shared" ca="1" si="87"/>
        <v>0</v>
      </c>
      <c r="G478" s="336">
        <f t="shared" ca="1" si="88"/>
        <v>0</v>
      </c>
      <c r="H478" s="336">
        <f t="shared" ca="1" si="89"/>
        <v>0</v>
      </c>
      <c r="I478" s="337">
        <f t="shared" ca="1" si="90"/>
        <v>0</v>
      </c>
    </row>
    <row r="479" spans="1:9">
      <c r="A479" s="335">
        <f t="shared" si="91"/>
        <v>462</v>
      </c>
      <c r="B479" s="340">
        <f t="shared" si="92"/>
        <v>60327</v>
      </c>
      <c r="C479" s="336">
        <f t="shared" ca="1" si="85"/>
        <v>0</v>
      </c>
      <c r="D479" s="335"/>
      <c r="E479" s="336">
        <f t="shared" ca="1" si="86"/>
        <v>0</v>
      </c>
      <c r="F479" s="336">
        <f t="shared" ca="1" si="87"/>
        <v>0</v>
      </c>
      <c r="G479" s="336">
        <f t="shared" ca="1" si="88"/>
        <v>0</v>
      </c>
      <c r="H479" s="336">
        <f t="shared" ca="1" si="89"/>
        <v>0</v>
      </c>
      <c r="I479" s="337">
        <f t="shared" ca="1" si="90"/>
        <v>0</v>
      </c>
    </row>
    <row r="480" spans="1:9">
      <c r="A480" s="335">
        <f t="shared" si="91"/>
        <v>463</v>
      </c>
      <c r="B480" s="340">
        <f t="shared" si="92"/>
        <v>60358</v>
      </c>
      <c r="C480" s="336">
        <f t="shared" ca="1" si="85"/>
        <v>0</v>
      </c>
      <c r="D480" s="335"/>
      <c r="E480" s="336">
        <f t="shared" si="86"/>
        <v>0</v>
      </c>
      <c r="F480" s="336">
        <f t="shared" ca="1" si="87"/>
        <v>0</v>
      </c>
      <c r="G480" s="336">
        <f t="shared" ca="1" si="88"/>
        <v>0</v>
      </c>
      <c r="H480" s="336">
        <f t="shared" ca="1" si="89"/>
        <v>0</v>
      </c>
      <c r="I480" s="337">
        <f t="shared" ca="1" si="90"/>
        <v>0</v>
      </c>
    </row>
    <row r="481" spans="1:9">
      <c r="A481" s="335">
        <f t="shared" si="91"/>
        <v>464</v>
      </c>
      <c r="B481" s="340">
        <f t="shared" si="92"/>
        <v>60388</v>
      </c>
      <c r="C481" s="336">
        <f t="shared" ref="C481:C494" ca="1" si="93">IF(H480=0,0,H480)</f>
        <v>0</v>
      </c>
      <c r="D481" s="335"/>
      <c r="E481" s="336">
        <f t="shared" ref="E481:E494" si="94">IF($D$10=1,
 IF(OR(MONTH(B481)=MONTH(EDATE($D$7,0)),MONTH(B481)=MONTH(EDATE($D$7,3)),MONTH(B481)=MONTH(EDATE($D$7,6)),MONTH(B481)=MONTH(EDATE($D$7,9))),(MIN($D$305,H480)),0),
IF($D$10=0,
 IF(OR(MONTH(B481)=MONTH(EDATE($D$7,2)),MONTH(B481)=MONTH(EDATE($D$7,5)),MONTH(B481)=MONTH(EDATE($D$7,8)),MONTH(B481)=MONTH(EDATE($D$7,11))),(MIN($D$305,H480)),0)))</f>
        <v>0</v>
      </c>
      <c r="F481" s="336">
        <f t="shared" ref="F481:F494" ca="1" si="95">IF(E481="","",E481-G481)</f>
        <v>0</v>
      </c>
      <c r="G481" s="336">
        <f t="shared" ref="G481:G494" ca="1" si="96">ROUND((C481-E481)*$D$5,3)</f>
        <v>0</v>
      </c>
      <c r="H481" s="336">
        <f t="shared" ref="H481:H494" ca="1" si="97">IF(E481="","",ROUND(H480-F481,4))</f>
        <v>0</v>
      </c>
      <c r="I481" s="337">
        <f t="shared" ref="I481:I494" ca="1" si="98">ROUND((D481-H481),0)</f>
        <v>0</v>
      </c>
    </row>
    <row r="482" spans="1:9">
      <c r="A482" s="335">
        <f t="shared" si="91"/>
        <v>465</v>
      </c>
      <c r="B482" s="340">
        <f t="shared" si="92"/>
        <v>60419</v>
      </c>
      <c r="C482" s="336">
        <f t="shared" ca="1" si="93"/>
        <v>0</v>
      </c>
      <c r="D482" s="335"/>
      <c r="E482" s="336">
        <f t="shared" ca="1" si="94"/>
        <v>0</v>
      </c>
      <c r="F482" s="336">
        <f t="shared" ca="1" si="95"/>
        <v>0</v>
      </c>
      <c r="G482" s="336">
        <f t="shared" ca="1" si="96"/>
        <v>0</v>
      </c>
      <c r="H482" s="336">
        <f t="shared" ca="1" si="97"/>
        <v>0</v>
      </c>
      <c r="I482" s="337">
        <f t="shared" ca="1" si="98"/>
        <v>0</v>
      </c>
    </row>
    <row r="483" spans="1:9">
      <c r="A483" s="335">
        <f t="shared" si="91"/>
        <v>466</v>
      </c>
      <c r="B483" s="340">
        <f t="shared" si="92"/>
        <v>60449</v>
      </c>
      <c r="C483" s="336">
        <f t="shared" ca="1" si="93"/>
        <v>0</v>
      </c>
      <c r="D483" s="335"/>
      <c r="E483" s="336">
        <f t="shared" si="94"/>
        <v>0</v>
      </c>
      <c r="F483" s="336">
        <f t="shared" ca="1" si="95"/>
        <v>0</v>
      </c>
      <c r="G483" s="336">
        <f t="shared" ca="1" si="96"/>
        <v>0</v>
      </c>
      <c r="H483" s="336">
        <f t="shared" ca="1" si="97"/>
        <v>0</v>
      </c>
      <c r="I483" s="337">
        <f t="shared" ca="1" si="98"/>
        <v>0</v>
      </c>
    </row>
    <row r="484" spans="1:9">
      <c r="A484" s="335">
        <f t="shared" si="91"/>
        <v>467</v>
      </c>
      <c r="B484" s="340">
        <f t="shared" si="92"/>
        <v>60480</v>
      </c>
      <c r="C484" s="336">
        <f t="shared" ca="1" si="93"/>
        <v>0</v>
      </c>
      <c r="D484" s="335"/>
      <c r="E484" s="336">
        <f t="shared" si="94"/>
        <v>0</v>
      </c>
      <c r="F484" s="336">
        <f t="shared" ca="1" si="95"/>
        <v>0</v>
      </c>
      <c r="G484" s="336">
        <f t="shared" ca="1" si="96"/>
        <v>0</v>
      </c>
      <c r="H484" s="336">
        <f t="shared" ca="1" si="97"/>
        <v>0</v>
      </c>
      <c r="I484" s="337">
        <f t="shared" ca="1" si="98"/>
        <v>0</v>
      </c>
    </row>
    <row r="485" spans="1:9">
      <c r="A485" s="335">
        <f t="shared" si="91"/>
        <v>468</v>
      </c>
      <c r="B485" s="340">
        <f t="shared" si="92"/>
        <v>60511</v>
      </c>
      <c r="C485" s="336">
        <f t="shared" ca="1" si="93"/>
        <v>0</v>
      </c>
      <c r="D485" s="335"/>
      <c r="E485" s="336">
        <f t="shared" ca="1" si="94"/>
        <v>0</v>
      </c>
      <c r="F485" s="336">
        <f t="shared" ca="1" si="95"/>
        <v>0</v>
      </c>
      <c r="G485" s="336">
        <f t="shared" ca="1" si="96"/>
        <v>0</v>
      </c>
      <c r="H485" s="336">
        <f t="shared" ca="1" si="97"/>
        <v>0</v>
      </c>
      <c r="I485" s="337">
        <f t="shared" ca="1" si="98"/>
        <v>0</v>
      </c>
    </row>
    <row r="486" spans="1:9">
      <c r="A486" s="335">
        <f t="shared" si="91"/>
        <v>469</v>
      </c>
      <c r="B486" s="340">
        <f t="shared" si="92"/>
        <v>60541</v>
      </c>
      <c r="C486" s="336">
        <f t="shared" ca="1" si="93"/>
        <v>0</v>
      </c>
      <c r="D486" s="335"/>
      <c r="E486" s="336">
        <f t="shared" si="94"/>
        <v>0</v>
      </c>
      <c r="F486" s="336">
        <f t="shared" ca="1" si="95"/>
        <v>0</v>
      </c>
      <c r="G486" s="336">
        <f t="shared" ca="1" si="96"/>
        <v>0</v>
      </c>
      <c r="H486" s="336">
        <f t="shared" ca="1" si="97"/>
        <v>0</v>
      </c>
      <c r="I486" s="337">
        <f t="shared" ca="1" si="98"/>
        <v>0</v>
      </c>
    </row>
    <row r="487" spans="1:9">
      <c r="A487" s="335">
        <f t="shared" si="91"/>
        <v>470</v>
      </c>
      <c r="B487" s="340">
        <f t="shared" si="92"/>
        <v>60572</v>
      </c>
      <c r="C487" s="336">
        <f t="shared" ca="1" si="93"/>
        <v>0</v>
      </c>
      <c r="D487" s="335"/>
      <c r="E487" s="336">
        <f t="shared" si="94"/>
        <v>0</v>
      </c>
      <c r="F487" s="336">
        <f t="shared" ca="1" si="95"/>
        <v>0</v>
      </c>
      <c r="G487" s="336">
        <f t="shared" ca="1" si="96"/>
        <v>0</v>
      </c>
      <c r="H487" s="336">
        <f t="shared" ca="1" si="97"/>
        <v>0</v>
      </c>
      <c r="I487" s="337">
        <f t="shared" ca="1" si="98"/>
        <v>0</v>
      </c>
    </row>
    <row r="488" spans="1:9">
      <c r="A488" s="335">
        <f t="shared" si="91"/>
        <v>471</v>
      </c>
      <c r="B488" s="340">
        <f t="shared" si="92"/>
        <v>60602</v>
      </c>
      <c r="C488" s="336">
        <f t="shared" ca="1" si="93"/>
        <v>0</v>
      </c>
      <c r="D488" s="335"/>
      <c r="E488" s="336">
        <f t="shared" ca="1" si="94"/>
        <v>0</v>
      </c>
      <c r="F488" s="336">
        <f t="shared" ca="1" si="95"/>
        <v>0</v>
      </c>
      <c r="G488" s="336">
        <f t="shared" ca="1" si="96"/>
        <v>0</v>
      </c>
      <c r="H488" s="336">
        <f t="shared" ca="1" si="97"/>
        <v>0</v>
      </c>
      <c r="I488" s="337">
        <f t="shared" ca="1" si="98"/>
        <v>0</v>
      </c>
    </row>
    <row r="489" spans="1:9">
      <c r="A489" s="335">
        <f t="shared" si="91"/>
        <v>472</v>
      </c>
      <c r="B489" s="340">
        <f t="shared" si="92"/>
        <v>60633</v>
      </c>
      <c r="C489" s="336">
        <f t="shared" ca="1" si="93"/>
        <v>0</v>
      </c>
      <c r="D489" s="335"/>
      <c r="E489" s="336">
        <f t="shared" si="94"/>
        <v>0</v>
      </c>
      <c r="F489" s="336">
        <f t="shared" ca="1" si="95"/>
        <v>0</v>
      </c>
      <c r="G489" s="336">
        <f t="shared" ca="1" si="96"/>
        <v>0</v>
      </c>
      <c r="H489" s="336">
        <f t="shared" ca="1" si="97"/>
        <v>0</v>
      </c>
      <c r="I489" s="337">
        <f t="shared" ca="1" si="98"/>
        <v>0</v>
      </c>
    </row>
    <row r="490" spans="1:9">
      <c r="A490" s="335">
        <f t="shared" si="91"/>
        <v>473</v>
      </c>
      <c r="B490" s="340">
        <f t="shared" si="92"/>
        <v>60664</v>
      </c>
      <c r="C490" s="336">
        <f t="shared" ca="1" si="93"/>
        <v>0</v>
      </c>
      <c r="D490" s="335"/>
      <c r="E490" s="336">
        <f t="shared" si="94"/>
        <v>0</v>
      </c>
      <c r="F490" s="336">
        <f t="shared" ca="1" si="95"/>
        <v>0</v>
      </c>
      <c r="G490" s="336">
        <f t="shared" ca="1" si="96"/>
        <v>0</v>
      </c>
      <c r="H490" s="336">
        <f t="shared" ca="1" si="97"/>
        <v>0</v>
      </c>
      <c r="I490" s="337">
        <f t="shared" ca="1" si="98"/>
        <v>0</v>
      </c>
    </row>
    <row r="491" spans="1:9">
      <c r="A491" s="335">
        <f t="shared" si="91"/>
        <v>474</v>
      </c>
      <c r="B491" s="340">
        <f t="shared" si="92"/>
        <v>60692</v>
      </c>
      <c r="C491" s="336">
        <f t="shared" ca="1" si="93"/>
        <v>0</v>
      </c>
      <c r="D491" s="335"/>
      <c r="E491" s="336">
        <f t="shared" ca="1" si="94"/>
        <v>0</v>
      </c>
      <c r="F491" s="336">
        <f t="shared" ca="1" si="95"/>
        <v>0</v>
      </c>
      <c r="G491" s="336">
        <f t="shared" ca="1" si="96"/>
        <v>0</v>
      </c>
      <c r="H491" s="336">
        <f t="shared" ca="1" si="97"/>
        <v>0</v>
      </c>
      <c r="I491" s="337">
        <f t="shared" ca="1" si="98"/>
        <v>0</v>
      </c>
    </row>
    <row r="492" spans="1:9">
      <c r="A492" s="335">
        <f t="shared" si="91"/>
        <v>475</v>
      </c>
      <c r="B492" s="340">
        <f t="shared" si="92"/>
        <v>60723</v>
      </c>
      <c r="C492" s="336">
        <f t="shared" ca="1" si="93"/>
        <v>0</v>
      </c>
      <c r="D492" s="335"/>
      <c r="E492" s="336">
        <f t="shared" si="94"/>
        <v>0</v>
      </c>
      <c r="F492" s="336">
        <f t="shared" ca="1" si="95"/>
        <v>0</v>
      </c>
      <c r="G492" s="336">
        <f t="shared" ca="1" si="96"/>
        <v>0</v>
      </c>
      <c r="H492" s="336">
        <f t="shared" ca="1" si="97"/>
        <v>0</v>
      </c>
      <c r="I492" s="337">
        <f t="shared" ca="1" si="98"/>
        <v>0</v>
      </c>
    </row>
    <row r="493" spans="1:9">
      <c r="A493" s="335">
        <f t="shared" si="91"/>
        <v>476</v>
      </c>
      <c r="B493" s="340">
        <f t="shared" si="92"/>
        <v>60753</v>
      </c>
      <c r="C493" s="336">
        <f t="shared" ca="1" si="93"/>
        <v>0</v>
      </c>
      <c r="D493" s="335"/>
      <c r="E493" s="336">
        <f t="shared" si="94"/>
        <v>0</v>
      </c>
      <c r="F493" s="336">
        <f t="shared" ca="1" si="95"/>
        <v>0</v>
      </c>
      <c r="G493" s="336">
        <f t="shared" ca="1" si="96"/>
        <v>0</v>
      </c>
      <c r="H493" s="336">
        <f t="shared" ca="1" si="97"/>
        <v>0</v>
      </c>
      <c r="I493" s="337">
        <f t="shared" ca="1" si="98"/>
        <v>0</v>
      </c>
    </row>
    <row r="494" spans="1:9">
      <c r="A494" s="335">
        <f t="shared" si="91"/>
        <v>477</v>
      </c>
      <c r="B494" s="340">
        <f t="shared" si="92"/>
        <v>60784</v>
      </c>
      <c r="C494" s="336">
        <f t="shared" ca="1" si="93"/>
        <v>0</v>
      </c>
      <c r="D494" s="335"/>
      <c r="E494" s="336">
        <f t="shared" ca="1" si="94"/>
        <v>0</v>
      </c>
      <c r="F494" s="336">
        <f t="shared" ca="1" si="95"/>
        <v>0</v>
      </c>
      <c r="G494" s="336">
        <f t="shared" ca="1" si="96"/>
        <v>0</v>
      </c>
      <c r="H494" s="336">
        <f t="shared" ca="1" si="97"/>
        <v>0</v>
      </c>
      <c r="I494" s="337">
        <f t="shared" ca="1" si="98"/>
        <v>0</v>
      </c>
    </row>
    <row r="495" spans="1:9">
      <c r="A495" s="335">
        <f t="shared" si="91"/>
        <v>478</v>
      </c>
      <c r="B495" s="340">
        <f t="shared" si="92"/>
        <v>60814</v>
      </c>
      <c r="C495" s="336">
        <f t="shared" ref="C495:C497" ca="1" si="99">IF(H494=0,0,H494)</f>
        <v>0</v>
      </c>
      <c r="D495" s="335"/>
      <c r="E495" s="336">
        <f t="shared" ref="E495:E497" si="100">IF($D$10=1,
 IF(OR(MONTH(B495)=MONTH(EDATE($D$7,0)),MONTH(B495)=MONTH(EDATE($D$7,3)),MONTH(B495)=MONTH(EDATE($D$7,6)),MONTH(B495)=MONTH(EDATE($D$7,9))),(MIN($D$305,H494)),0),
IF($D$10=0,
 IF(OR(MONTH(B495)=MONTH(EDATE($D$7,2)),MONTH(B495)=MONTH(EDATE($D$7,5)),MONTH(B495)=MONTH(EDATE($D$7,8)),MONTH(B495)=MONTH(EDATE($D$7,11))),(MIN($D$305,H494)),0)))</f>
        <v>0</v>
      </c>
      <c r="F495" s="336">
        <f t="shared" ref="F495:F497" ca="1" si="101">IF(E495="","",E495-G495)</f>
        <v>0</v>
      </c>
      <c r="G495" s="336">
        <f t="shared" ref="G495:G497" ca="1" si="102">ROUND((C495-E495)*$D$5,3)</f>
        <v>0</v>
      </c>
      <c r="H495" s="336">
        <f t="shared" ref="H495:H497" ca="1" si="103">IF(E495="","",ROUND(H494-F495,4))</f>
        <v>0</v>
      </c>
      <c r="I495" s="337">
        <f t="shared" ref="I495:I497" ca="1" si="104">ROUND((D495-H495),0)</f>
        <v>0</v>
      </c>
    </row>
    <row r="496" spans="1:9">
      <c r="A496" s="335">
        <f t="shared" si="91"/>
        <v>479</v>
      </c>
      <c r="B496" s="340">
        <f t="shared" si="92"/>
        <v>60845</v>
      </c>
      <c r="C496" s="336">
        <f t="shared" ca="1" si="99"/>
        <v>0</v>
      </c>
      <c r="D496" s="335"/>
      <c r="E496" s="336">
        <f t="shared" si="100"/>
        <v>0</v>
      </c>
      <c r="F496" s="336">
        <f t="shared" ca="1" si="101"/>
        <v>0</v>
      </c>
      <c r="G496" s="336">
        <f t="shared" ca="1" si="102"/>
        <v>0</v>
      </c>
      <c r="H496" s="336">
        <f t="shared" ca="1" si="103"/>
        <v>0</v>
      </c>
      <c r="I496" s="337">
        <f t="shared" ca="1" si="104"/>
        <v>0</v>
      </c>
    </row>
    <row r="497" spans="1:9">
      <c r="A497" s="335">
        <f t="shared" si="91"/>
        <v>480</v>
      </c>
      <c r="B497" s="340">
        <f t="shared" si="92"/>
        <v>60876</v>
      </c>
      <c r="C497" s="336">
        <f t="shared" ca="1" si="99"/>
        <v>0</v>
      </c>
      <c r="D497" s="335"/>
      <c r="E497" s="336">
        <f t="shared" ca="1" si="100"/>
        <v>0</v>
      </c>
      <c r="F497" s="336">
        <f t="shared" ca="1" si="101"/>
        <v>0</v>
      </c>
      <c r="G497" s="336">
        <f t="shared" ca="1" si="102"/>
        <v>0</v>
      </c>
      <c r="H497" s="336">
        <f t="shared" ca="1" si="103"/>
        <v>0</v>
      </c>
      <c r="I497" s="337">
        <f t="shared" ca="1" si="104"/>
        <v>0</v>
      </c>
    </row>
    <row r="498" spans="1:9">
      <c r="H498" s="94" cm="1">
        <f t="array" aca="1" ref="H498" ca="1">INDEX(A17:A497,MATCH(TRUE,INDEX(I17:I497&gt;=0,),0))</f>
        <v>204</v>
      </c>
    </row>
  </sheetData>
  <mergeCells count="11">
    <mergeCell ref="A10:C10"/>
    <mergeCell ref="A1:H1"/>
    <mergeCell ref="A4:C4"/>
    <mergeCell ref="A5:C5"/>
    <mergeCell ref="A6:C6"/>
    <mergeCell ref="A7:C7"/>
    <mergeCell ref="A11:C11"/>
    <mergeCell ref="A12:C12"/>
    <mergeCell ref="A13:C13"/>
    <mergeCell ref="A14:C14"/>
    <mergeCell ref="A15:C15"/>
  </mergeCells>
  <pageMargins left="0.75" right="0.5" top="0.5" bottom="0.5" header="0.5" footer="0.5"/>
  <pageSetup orientation="portrait" horizontalDpi="4294967292" verticalDpi="429496729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V498"/>
  <sheetViews>
    <sheetView showGridLines="0" zoomScale="98" zoomScaleNormal="98" zoomScalePageLayoutView="125" workbookViewId="0">
      <pane ySplit="16" topLeftCell="A23" activePane="bottomLeft" state="frozenSplit"/>
      <selection activeCell="L42" sqref="L42"/>
      <selection pane="bottomLeft" activeCell="L42" sqref="L42"/>
    </sheetView>
  </sheetViews>
  <sheetFormatPr baseColWidth="10" defaultColWidth="8.83203125" defaultRowHeight="13"/>
  <cols>
    <col min="1" max="1" width="6.33203125" style="341" customWidth="1"/>
    <col min="2" max="2" width="12.5" style="341" customWidth="1"/>
    <col min="3" max="3" width="16.5" style="341" customWidth="1"/>
    <col min="4" max="4" width="15.5" style="341" customWidth="1"/>
    <col min="5" max="5" width="17" style="341" customWidth="1"/>
    <col min="6" max="6" width="16" style="341" customWidth="1"/>
    <col min="7" max="7" width="14.5" style="341" customWidth="1"/>
    <col min="8" max="8" width="21" style="341" customWidth="1"/>
    <col min="9" max="9" width="15" style="306" customWidth="1"/>
    <col min="10" max="10" width="8.33203125" style="307" customWidth="1"/>
    <col min="11" max="12" width="17.33203125" style="307" customWidth="1"/>
    <col min="13" max="13" width="14.33203125" style="307" customWidth="1"/>
    <col min="14" max="14" width="17.33203125" style="307" customWidth="1"/>
    <col min="15" max="15" width="13" style="307" bestFit="1" customWidth="1"/>
    <col min="16" max="16" width="10.5" style="307" customWidth="1"/>
    <col min="17" max="17" width="10.5" style="307" bestFit="1" customWidth="1"/>
    <col min="18" max="253" width="8.83203125" style="307"/>
    <col min="254" max="254" width="4.5" style="307" customWidth="1"/>
    <col min="255" max="255" width="12.5" style="307" customWidth="1"/>
    <col min="256" max="256" width="11.83203125" style="307" customWidth="1"/>
    <col min="257" max="257" width="12.83203125" style="307" customWidth="1"/>
    <col min="258" max="258" width="11" style="307" customWidth="1"/>
    <col min="259" max="259" width="11.5" style="307" customWidth="1"/>
    <col min="260" max="261" width="11.33203125" style="307" customWidth="1"/>
    <col min="262" max="262" width="13.5" style="307" customWidth="1"/>
    <col min="263" max="509" width="8.83203125" style="307"/>
    <col min="510" max="510" width="4.5" style="307" customWidth="1"/>
    <col min="511" max="511" width="12.5" style="307" customWidth="1"/>
    <col min="512" max="512" width="11.83203125" style="307" customWidth="1"/>
    <col min="513" max="513" width="12.83203125" style="307" customWidth="1"/>
    <col min="514" max="514" width="11" style="307" customWidth="1"/>
    <col min="515" max="515" width="11.5" style="307" customWidth="1"/>
    <col min="516" max="517" width="11.33203125" style="307" customWidth="1"/>
    <col min="518" max="518" width="13.5" style="307" customWidth="1"/>
    <col min="519" max="765" width="8.83203125" style="307"/>
    <col min="766" max="766" width="4.5" style="307" customWidth="1"/>
    <col min="767" max="767" width="12.5" style="307" customWidth="1"/>
    <col min="768" max="768" width="11.83203125" style="307" customWidth="1"/>
    <col min="769" max="769" width="12.83203125" style="307" customWidth="1"/>
    <col min="770" max="770" width="11" style="307" customWidth="1"/>
    <col min="771" max="771" width="11.5" style="307" customWidth="1"/>
    <col min="772" max="773" width="11.33203125" style="307" customWidth="1"/>
    <col min="774" max="774" width="13.5" style="307" customWidth="1"/>
    <col min="775" max="1021" width="8.83203125" style="307"/>
    <col min="1022" max="1022" width="4.5" style="307" customWidth="1"/>
    <col min="1023" max="1023" width="12.5" style="307" customWidth="1"/>
    <col min="1024" max="1024" width="11.83203125" style="307" customWidth="1"/>
    <col min="1025" max="1025" width="12.83203125" style="307" customWidth="1"/>
    <col min="1026" max="1026" width="11" style="307" customWidth="1"/>
    <col min="1027" max="1027" width="11.5" style="307" customWidth="1"/>
    <col min="1028" max="1029" width="11.33203125" style="307" customWidth="1"/>
    <col min="1030" max="1030" width="13.5" style="307" customWidth="1"/>
    <col min="1031" max="1277" width="8.83203125" style="307"/>
    <col min="1278" max="1278" width="4.5" style="307" customWidth="1"/>
    <col min="1279" max="1279" width="12.5" style="307" customWidth="1"/>
    <col min="1280" max="1280" width="11.83203125" style="307" customWidth="1"/>
    <col min="1281" max="1281" width="12.83203125" style="307" customWidth="1"/>
    <col min="1282" max="1282" width="11" style="307" customWidth="1"/>
    <col min="1283" max="1283" width="11.5" style="307" customWidth="1"/>
    <col min="1284" max="1285" width="11.33203125" style="307" customWidth="1"/>
    <col min="1286" max="1286" width="13.5" style="307" customWidth="1"/>
    <col min="1287" max="1533" width="8.83203125" style="307"/>
    <col min="1534" max="1534" width="4.5" style="307" customWidth="1"/>
    <col min="1535" max="1535" width="12.5" style="307" customWidth="1"/>
    <col min="1536" max="1536" width="11.83203125" style="307" customWidth="1"/>
    <col min="1537" max="1537" width="12.83203125" style="307" customWidth="1"/>
    <col min="1538" max="1538" width="11" style="307" customWidth="1"/>
    <col min="1539" max="1539" width="11.5" style="307" customWidth="1"/>
    <col min="1540" max="1541" width="11.33203125" style="307" customWidth="1"/>
    <col min="1542" max="1542" width="13.5" style="307" customWidth="1"/>
    <col min="1543" max="1789" width="8.83203125" style="307"/>
    <col min="1790" max="1790" width="4.5" style="307" customWidth="1"/>
    <col min="1791" max="1791" width="12.5" style="307" customWidth="1"/>
    <col min="1792" max="1792" width="11.83203125" style="307" customWidth="1"/>
    <col min="1793" max="1793" width="12.83203125" style="307" customWidth="1"/>
    <col min="1794" max="1794" width="11" style="307" customWidth="1"/>
    <col min="1795" max="1795" width="11.5" style="307" customWidth="1"/>
    <col min="1796" max="1797" width="11.33203125" style="307" customWidth="1"/>
    <col min="1798" max="1798" width="13.5" style="307" customWidth="1"/>
    <col min="1799" max="2045" width="8.83203125" style="307"/>
    <col min="2046" max="2046" width="4.5" style="307" customWidth="1"/>
    <col min="2047" max="2047" width="12.5" style="307" customWidth="1"/>
    <col min="2048" max="2048" width="11.83203125" style="307" customWidth="1"/>
    <col min="2049" max="2049" width="12.83203125" style="307" customWidth="1"/>
    <col min="2050" max="2050" width="11" style="307" customWidth="1"/>
    <col min="2051" max="2051" width="11.5" style="307" customWidth="1"/>
    <col min="2052" max="2053" width="11.33203125" style="307" customWidth="1"/>
    <col min="2054" max="2054" width="13.5" style="307" customWidth="1"/>
    <col min="2055" max="2301" width="8.83203125" style="307"/>
    <col min="2302" max="2302" width="4.5" style="307" customWidth="1"/>
    <col min="2303" max="2303" width="12.5" style="307" customWidth="1"/>
    <col min="2304" max="2304" width="11.83203125" style="307" customWidth="1"/>
    <col min="2305" max="2305" width="12.83203125" style="307" customWidth="1"/>
    <col min="2306" max="2306" width="11" style="307" customWidth="1"/>
    <col min="2307" max="2307" width="11.5" style="307" customWidth="1"/>
    <col min="2308" max="2309" width="11.33203125" style="307" customWidth="1"/>
    <col min="2310" max="2310" width="13.5" style="307" customWidth="1"/>
    <col min="2311" max="2557" width="8.83203125" style="307"/>
    <col min="2558" max="2558" width="4.5" style="307" customWidth="1"/>
    <col min="2559" max="2559" width="12.5" style="307" customWidth="1"/>
    <col min="2560" max="2560" width="11.83203125" style="307" customWidth="1"/>
    <col min="2561" max="2561" width="12.83203125" style="307" customWidth="1"/>
    <col min="2562" max="2562" width="11" style="307" customWidth="1"/>
    <col min="2563" max="2563" width="11.5" style="307" customWidth="1"/>
    <col min="2564" max="2565" width="11.33203125" style="307" customWidth="1"/>
    <col min="2566" max="2566" width="13.5" style="307" customWidth="1"/>
    <col min="2567" max="2813" width="8.83203125" style="307"/>
    <col min="2814" max="2814" width="4.5" style="307" customWidth="1"/>
    <col min="2815" max="2815" width="12.5" style="307" customWidth="1"/>
    <col min="2816" max="2816" width="11.83203125" style="307" customWidth="1"/>
    <col min="2817" max="2817" width="12.83203125" style="307" customWidth="1"/>
    <col min="2818" max="2818" width="11" style="307" customWidth="1"/>
    <col min="2819" max="2819" width="11.5" style="307" customWidth="1"/>
    <col min="2820" max="2821" width="11.33203125" style="307" customWidth="1"/>
    <col min="2822" max="2822" width="13.5" style="307" customWidth="1"/>
    <col min="2823" max="3069" width="8.83203125" style="307"/>
    <col min="3070" max="3070" width="4.5" style="307" customWidth="1"/>
    <col min="3071" max="3071" width="12.5" style="307" customWidth="1"/>
    <col min="3072" max="3072" width="11.83203125" style="307" customWidth="1"/>
    <col min="3073" max="3073" width="12.83203125" style="307" customWidth="1"/>
    <col min="3074" max="3074" width="11" style="307" customWidth="1"/>
    <col min="3075" max="3075" width="11.5" style="307" customWidth="1"/>
    <col min="3076" max="3077" width="11.33203125" style="307" customWidth="1"/>
    <col min="3078" max="3078" width="13.5" style="307" customWidth="1"/>
    <col min="3079" max="3325" width="8.83203125" style="307"/>
    <col min="3326" max="3326" width="4.5" style="307" customWidth="1"/>
    <col min="3327" max="3327" width="12.5" style="307" customWidth="1"/>
    <col min="3328" max="3328" width="11.83203125" style="307" customWidth="1"/>
    <col min="3329" max="3329" width="12.83203125" style="307" customWidth="1"/>
    <col min="3330" max="3330" width="11" style="307" customWidth="1"/>
    <col min="3331" max="3331" width="11.5" style="307" customWidth="1"/>
    <col min="3332" max="3333" width="11.33203125" style="307" customWidth="1"/>
    <col min="3334" max="3334" width="13.5" style="307" customWidth="1"/>
    <col min="3335" max="3581" width="8.83203125" style="307"/>
    <col min="3582" max="3582" width="4.5" style="307" customWidth="1"/>
    <col min="3583" max="3583" width="12.5" style="307" customWidth="1"/>
    <col min="3584" max="3584" width="11.83203125" style="307" customWidth="1"/>
    <col min="3585" max="3585" width="12.83203125" style="307" customWidth="1"/>
    <col min="3586" max="3586" width="11" style="307" customWidth="1"/>
    <col min="3587" max="3587" width="11.5" style="307" customWidth="1"/>
    <col min="3588" max="3589" width="11.33203125" style="307" customWidth="1"/>
    <col min="3590" max="3590" width="13.5" style="307" customWidth="1"/>
    <col min="3591" max="3837" width="8.83203125" style="307"/>
    <col min="3838" max="3838" width="4.5" style="307" customWidth="1"/>
    <col min="3839" max="3839" width="12.5" style="307" customWidth="1"/>
    <col min="3840" max="3840" width="11.83203125" style="307" customWidth="1"/>
    <col min="3841" max="3841" width="12.83203125" style="307" customWidth="1"/>
    <col min="3842" max="3842" width="11" style="307" customWidth="1"/>
    <col min="3843" max="3843" width="11.5" style="307" customWidth="1"/>
    <col min="3844" max="3845" width="11.33203125" style="307" customWidth="1"/>
    <col min="3846" max="3846" width="13.5" style="307" customWidth="1"/>
    <col min="3847" max="4093" width="8.83203125" style="307"/>
    <col min="4094" max="4094" width="4.5" style="307" customWidth="1"/>
    <col min="4095" max="4095" width="12.5" style="307" customWidth="1"/>
    <col min="4096" max="4096" width="11.83203125" style="307" customWidth="1"/>
    <col min="4097" max="4097" width="12.83203125" style="307" customWidth="1"/>
    <col min="4098" max="4098" width="11" style="307" customWidth="1"/>
    <col min="4099" max="4099" width="11.5" style="307" customWidth="1"/>
    <col min="4100" max="4101" width="11.33203125" style="307" customWidth="1"/>
    <col min="4102" max="4102" width="13.5" style="307" customWidth="1"/>
    <col min="4103" max="4349" width="8.83203125" style="307"/>
    <col min="4350" max="4350" width="4.5" style="307" customWidth="1"/>
    <col min="4351" max="4351" width="12.5" style="307" customWidth="1"/>
    <col min="4352" max="4352" width="11.83203125" style="307" customWidth="1"/>
    <col min="4353" max="4353" width="12.83203125" style="307" customWidth="1"/>
    <col min="4354" max="4354" width="11" style="307" customWidth="1"/>
    <col min="4355" max="4355" width="11.5" style="307" customWidth="1"/>
    <col min="4356" max="4357" width="11.33203125" style="307" customWidth="1"/>
    <col min="4358" max="4358" width="13.5" style="307" customWidth="1"/>
    <col min="4359" max="4605" width="8.83203125" style="307"/>
    <col min="4606" max="4606" width="4.5" style="307" customWidth="1"/>
    <col min="4607" max="4607" width="12.5" style="307" customWidth="1"/>
    <col min="4608" max="4608" width="11.83203125" style="307" customWidth="1"/>
    <col min="4609" max="4609" width="12.83203125" style="307" customWidth="1"/>
    <col min="4610" max="4610" width="11" style="307" customWidth="1"/>
    <col min="4611" max="4611" width="11.5" style="307" customWidth="1"/>
    <col min="4612" max="4613" width="11.33203125" style="307" customWidth="1"/>
    <col min="4614" max="4614" width="13.5" style="307" customWidth="1"/>
    <col min="4615" max="4861" width="8.83203125" style="307"/>
    <col min="4862" max="4862" width="4.5" style="307" customWidth="1"/>
    <col min="4863" max="4863" width="12.5" style="307" customWidth="1"/>
    <col min="4864" max="4864" width="11.83203125" style="307" customWidth="1"/>
    <col min="4865" max="4865" width="12.83203125" style="307" customWidth="1"/>
    <col min="4866" max="4866" width="11" style="307" customWidth="1"/>
    <col min="4867" max="4867" width="11.5" style="307" customWidth="1"/>
    <col min="4868" max="4869" width="11.33203125" style="307" customWidth="1"/>
    <col min="4870" max="4870" width="13.5" style="307" customWidth="1"/>
    <col min="4871" max="5117" width="8.83203125" style="307"/>
    <col min="5118" max="5118" width="4.5" style="307" customWidth="1"/>
    <col min="5119" max="5119" width="12.5" style="307" customWidth="1"/>
    <col min="5120" max="5120" width="11.83203125" style="307" customWidth="1"/>
    <col min="5121" max="5121" width="12.83203125" style="307" customWidth="1"/>
    <col min="5122" max="5122" width="11" style="307" customWidth="1"/>
    <col min="5123" max="5123" width="11.5" style="307" customWidth="1"/>
    <col min="5124" max="5125" width="11.33203125" style="307" customWidth="1"/>
    <col min="5126" max="5126" width="13.5" style="307" customWidth="1"/>
    <col min="5127" max="5373" width="8.83203125" style="307"/>
    <col min="5374" max="5374" width="4.5" style="307" customWidth="1"/>
    <col min="5375" max="5375" width="12.5" style="307" customWidth="1"/>
    <col min="5376" max="5376" width="11.83203125" style="307" customWidth="1"/>
    <col min="5377" max="5377" width="12.83203125" style="307" customWidth="1"/>
    <col min="5378" max="5378" width="11" style="307" customWidth="1"/>
    <col min="5379" max="5379" width="11.5" style="307" customWidth="1"/>
    <col min="5380" max="5381" width="11.33203125" style="307" customWidth="1"/>
    <col min="5382" max="5382" width="13.5" style="307" customWidth="1"/>
    <col min="5383" max="5629" width="8.83203125" style="307"/>
    <col min="5630" max="5630" width="4.5" style="307" customWidth="1"/>
    <col min="5631" max="5631" width="12.5" style="307" customWidth="1"/>
    <col min="5632" max="5632" width="11.83203125" style="307" customWidth="1"/>
    <col min="5633" max="5633" width="12.83203125" style="307" customWidth="1"/>
    <col min="5634" max="5634" width="11" style="307" customWidth="1"/>
    <col min="5635" max="5635" width="11.5" style="307" customWidth="1"/>
    <col min="5636" max="5637" width="11.33203125" style="307" customWidth="1"/>
    <col min="5638" max="5638" width="13.5" style="307" customWidth="1"/>
    <col min="5639" max="5885" width="8.83203125" style="307"/>
    <col min="5886" max="5886" width="4.5" style="307" customWidth="1"/>
    <col min="5887" max="5887" width="12.5" style="307" customWidth="1"/>
    <col min="5888" max="5888" width="11.83203125" style="307" customWidth="1"/>
    <col min="5889" max="5889" width="12.83203125" style="307" customWidth="1"/>
    <col min="5890" max="5890" width="11" style="307" customWidth="1"/>
    <col min="5891" max="5891" width="11.5" style="307" customWidth="1"/>
    <col min="5892" max="5893" width="11.33203125" style="307" customWidth="1"/>
    <col min="5894" max="5894" width="13.5" style="307" customWidth="1"/>
    <col min="5895" max="6141" width="8.83203125" style="307"/>
    <col min="6142" max="6142" width="4.5" style="307" customWidth="1"/>
    <col min="6143" max="6143" width="12.5" style="307" customWidth="1"/>
    <col min="6144" max="6144" width="11.83203125" style="307" customWidth="1"/>
    <col min="6145" max="6145" width="12.83203125" style="307" customWidth="1"/>
    <col min="6146" max="6146" width="11" style="307" customWidth="1"/>
    <col min="6147" max="6147" width="11.5" style="307" customWidth="1"/>
    <col min="6148" max="6149" width="11.33203125" style="307" customWidth="1"/>
    <col min="6150" max="6150" width="13.5" style="307" customWidth="1"/>
    <col min="6151" max="6397" width="8.83203125" style="307"/>
    <col min="6398" max="6398" width="4.5" style="307" customWidth="1"/>
    <col min="6399" max="6399" width="12.5" style="307" customWidth="1"/>
    <col min="6400" max="6400" width="11.83203125" style="307" customWidth="1"/>
    <col min="6401" max="6401" width="12.83203125" style="307" customWidth="1"/>
    <col min="6402" max="6402" width="11" style="307" customWidth="1"/>
    <col min="6403" max="6403" width="11.5" style="307" customWidth="1"/>
    <col min="6404" max="6405" width="11.33203125" style="307" customWidth="1"/>
    <col min="6406" max="6406" width="13.5" style="307" customWidth="1"/>
    <col min="6407" max="6653" width="8.83203125" style="307"/>
    <col min="6654" max="6654" width="4.5" style="307" customWidth="1"/>
    <col min="6655" max="6655" width="12.5" style="307" customWidth="1"/>
    <col min="6656" max="6656" width="11.83203125" style="307" customWidth="1"/>
    <col min="6657" max="6657" width="12.83203125" style="307" customWidth="1"/>
    <col min="6658" max="6658" width="11" style="307" customWidth="1"/>
    <col min="6659" max="6659" width="11.5" style="307" customWidth="1"/>
    <col min="6660" max="6661" width="11.33203125" style="307" customWidth="1"/>
    <col min="6662" max="6662" width="13.5" style="307" customWidth="1"/>
    <col min="6663" max="6909" width="8.83203125" style="307"/>
    <col min="6910" max="6910" width="4.5" style="307" customWidth="1"/>
    <col min="6911" max="6911" width="12.5" style="307" customWidth="1"/>
    <col min="6912" max="6912" width="11.83203125" style="307" customWidth="1"/>
    <col min="6913" max="6913" width="12.83203125" style="307" customWidth="1"/>
    <col min="6914" max="6914" width="11" style="307" customWidth="1"/>
    <col min="6915" max="6915" width="11.5" style="307" customWidth="1"/>
    <col min="6916" max="6917" width="11.33203125" style="307" customWidth="1"/>
    <col min="6918" max="6918" width="13.5" style="307" customWidth="1"/>
    <col min="6919" max="7165" width="8.83203125" style="307"/>
    <col min="7166" max="7166" width="4.5" style="307" customWidth="1"/>
    <col min="7167" max="7167" width="12.5" style="307" customWidth="1"/>
    <col min="7168" max="7168" width="11.83203125" style="307" customWidth="1"/>
    <col min="7169" max="7169" width="12.83203125" style="307" customWidth="1"/>
    <col min="7170" max="7170" width="11" style="307" customWidth="1"/>
    <col min="7171" max="7171" width="11.5" style="307" customWidth="1"/>
    <col min="7172" max="7173" width="11.33203125" style="307" customWidth="1"/>
    <col min="7174" max="7174" width="13.5" style="307" customWidth="1"/>
    <col min="7175" max="7421" width="8.83203125" style="307"/>
    <col min="7422" max="7422" width="4.5" style="307" customWidth="1"/>
    <col min="7423" max="7423" width="12.5" style="307" customWidth="1"/>
    <col min="7424" max="7424" width="11.83203125" style="307" customWidth="1"/>
    <col min="7425" max="7425" width="12.83203125" style="307" customWidth="1"/>
    <col min="7426" max="7426" width="11" style="307" customWidth="1"/>
    <col min="7427" max="7427" width="11.5" style="307" customWidth="1"/>
    <col min="7428" max="7429" width="11.33203125" style="307" customWidth="1"/>
    <col min="7430" max="7430" width="13.5" style="307" customWidth="1"/>
    <col min="7431" max="7677" width="8.83203125" style="307"/>
    <col min="7678" max="7678" width="4.5" style="307" customWidth="1"/>
    <col min="7679" max="7679" width="12.5" style="307" customWidth="1"/>
    <col min="7680" max="7680" width="11.83203125" style="307" customWidth="1"/>
    <col min="7681" max="7681" width="12.83203125" style="307" customWidth="1"/>
    <col min="7682" max="7682" width="11" style="307" customWidth="1"/>
    <col min="7683" max="7683" width="11.5" style="307" customWidth="1"/>
    <col min="7684" max="7685" width="11.33203125" style="307" customWidth="1"/>
    <col min="7686" max="7686" width="13.5" style="307" customWidth="1"/>
    <col min="7687" max="7933" width="8.83203125" style="307"/>
    <col min="7934" max="7934" width="4.5" style="307" customWidth="1"/>
    <col min="7935" max="7935" width="12.5" style="307" customWidth="1"/>
    <col min="7936" max="7936" width="11.83203125" style="307" customWidth="1"/>
    <col min="7937" max="7937" width="12.83203125" style="307" customWidth="1"/>
    <col min="7938" max="7938" width="11" style="307" customWidth="1"/>
    <col min="7939" max="7939" width="11.5" style="307" customWidth="1"/>
    <col min="7940" max="7941" width="11.33203125" style="307" customWidth="1"/>
    <col min="7942" max="7942" width="13.5" style="307" customWidth="1"/>
    <col min="7943" max="8189" width="8.83203125" style="307"/>
    <col min="8190" max="8190" width="4.5" style="307" customWidth="1"/>
    <col min="8191" max="8191" width="12.5" style="307" customWidth="1"/>
    <col min="8192" max="8192" width="11.83203125" style="307" customWidth="1"/>
    <col min="8193" max="8193" width="12.83203125" style="307" customWidth="1"/>
    <col min="8194" max="8194" width="11" style="307" customWidth="1"/>
    <col min="8195" max="8195" width="11.5" style="307" customWidth="1"/>
    <col min="8196" max="8197" width="11.33203125" style="307" customWidth="1"/>
    <col min="8198" max="8198" width="13.5" style="307" customWidth="1"/>
    <col min="8199" max="8445" width="8.83203125" style="307"/>
    <col min="8446" max="8446" width="4.5" style="307" customWidth="1"/>
    <col min="8447" max="8447" width="12.5" style="307" customWidth="1"/>
    <col min="8448" max="8448" width="11.83203125" style="307" customWidth="1"/>
    <col min="8449" max="8449" width="12.83203125" style="307" customWidth="1"/>
    <col min="8450" max="8450" width="11" style="307" customWidth="1"/>
    <col min="8451" max="8451" width="11.5" style="307" customWidth="1"/>
    <col min="8452" max="8453" width="11.33203125" style="307" customWidth="1"/>
    <col min="8454" max="8454" width="13.5" style="307" customWidth="1"/>
    <col min="8455" max="8701" width="8.83203125" style="307"/>
    <col min="8702" max="8702" width="4.5" style="307" customWidth="1"/>
    <col min="8703" max="8703" width="12.5" style="307" customWidth="1"/>
    <col min="8704" max="8704" width="11.83203125" style="307" customWidth="1"/>
    <col min="8705" max="8705" width="12.83203125" style="307" customWidth="1"/>
    <col min="8706" max="8706" width="11" style="307" customWidth="1"/>
    <col min="8707" max="8707" width="11.5" style="307" customWidth="1"/>
    <col min="8708" max="8709" width="11.33203125" style="307" customWidth="1"/>
    <col min="8710" max="8710" width="13.5" style="307" customWidth="1"/>
    <col min="8711" max="8957" width="8.83203125" style="307"/>
    <col min="8958" max="8958" width="4.5" style="307" customWidth="1"/>
    <col min="8959" max="8959" width="12.5" style="307" customWidth="1"/>
    <col min="8960" max="8960" width="11.83203125" style="307" customWidth="1"/>
    <col min="8961" max="8961" width="12.83203125" style="307" customWidth="1"/>
    <col min="8962" max="8962" width="11" style="307" customWidth="1"/>
    <col min="8963" max="8963" width="11.5" style="307" customWidth="1"/>
    <col min="8964" max="8965" width="11.33203125" style="307" customWidth="1"/>
    <col min="8966" max="8966" width="13.5" style="307" customWidth="1"/>
    <col min="8967" max="9213" width="8.83203125" style="307"/>
    <col min="9214" max="9214" width="4.5" style="307" customWidth="1"/>
    <col min="9215" max="9215" width="12.5" style="307" customWidth="1"/>
    <col min="9216" max="9216" width="11.83203125" style="307" customWidth="1"/>
    <col min="9217" max="9217" width="12.83203125" style="307" customWidth="1"/>
    <col min="9218" max="9218" width="11" style="307" customWidth="1"/>
    <col min="9219" max="9219" width="11.5" style="307" customWidth="1"/>
    <col min="9220" max="9221" width="11.33203125" style="307" customWidth="1"/>
    <col min="9222" max="9222" width="13.5" style="307" customWidth="1"/>
    <col min="9223" max="9469" width="8.83203125" style="307"/>
    <col min="9470" max="9470" width="4.5" style="307" customWidth="1"/>
    <col min="9471" max="9471" width="12.5" style="307" customWidth="1"/>
    <col min="9472" max="9472" width="11.83203125" style="307" customWidth="1"/>
    <col min="9473" max="9473" width="12.83203125" style="307" customWidth="1"/>
    <col min="9474" max="9474" width="11" style="307" customWidth="1"/>
    <col min="9475" max="9475" width="11.5" style="307" customWidth="1"/>
    <col min="9476" max="9477" width="11.33203125" style="307" customWidth="1"/>
    <col min="9478" max="9478" width="13.5" style="307" customWidth="1"/>
    <col min="9479" max="9725" width="8.83203125" style="307"/>
    <col min="9726" max="9726" width="4.5" style="307" customWidth="1"/>
    <col min="9727" max="9727" width="12.5" style="307" customWidth="1"/>
    <col min="9728" max="9728" width="11.83203125" style="307" customWidth="1"/>
    <col min="9729" max="9729" width="12.83203125" style="307" customWidth="1"/>
    <col min="9730" max="9730" width="11" style="307" customWidth="1"/>
    <col min="9731" max="9731" width="11.5" style="307" customWidth="1"/>
    <col min="9732" max="9733" width="11.33203125" style="307" customWidth="1"/>
    <col min="9734" max="9734" width="13.5" style="307" customWidth="1"/>
    <col min="9735" max="9981" width="8.83203125" style="307"/>
    <col min="9982" max="9982" width="4.5" style="307" customWidth="1"/>
    <col min="9983" max="9983" width="12.5" style="307" customWidth="1"/>
    <col min="9984" max="9984" width="11.83203125" style="307" customWidth="1"/>
    <col min="9985" max="9985" width="12.83203125" style="307" customWidth="1"/>
    <col min="9986" max="9986" width="11" style="307" customWidth="1"/>
    <col min="9987" max="9987" width="11.5" style="307" customWidth="1"/>
    <col min="9988" max="9989" width="11.33203125" style="307" customWidth="1"/>
    <col min="9990" max="9990" width="13.5" style="307" customWidth="1"/>
    <col min="9991" max="10237" width="8.83203125" style="307"/>
    <col min="10238" max="10238" width="4.5" style="307" customWidth="1"/>
    <col min="10239" max="10239" width="12.5" style="307" customWidth="1"/>
    <col min="10240" max="10240" width="11.83203125" style="307" customWidth="1"/>
    <col min="10241" max="10241" width="12.83203125" style="307" customWidth="1"/>
    <col min="10242" max="10242" width="11" style="307" customWidth="1"/>
    <col min="10243" max="10243" width="11.5" style="307" customWidth="1"/>
    <col min="10244" max="10245" width="11.33203125" style="307" customWidth="1"/>
    <col min="10246" max="10246" width="13.5" style="307" customWidth="1"/>
    <col min="10247" max="10493" width="8.83203125" style="307"/>
    <col min="10494" max="10494" width="4.5" style="307" customWidth="1"/>
    <col min="10495" max="10495" width="12.5" style="307" customWidth="1"/>
    <col min="10496" max="10496" width="11.83203125" style="307" customWidth="1"/>
    <col min="10497" max="10497" width="12.83203125" style="307" customWidth="1"/>
    <col min="10498" max="10498" width="11" style="307" customWidth="1"/>
    <col min="10499" max="10499" width="11.5" style="307" customWidth="1"/>
    <col min="10500" max="10501" width="11.33203125" style="307" customWidth="1"/>
    <col min="10502" max="10502" width="13.5" style="307" customWidth="1"/>
    <col min="10503" max="10749" width="8.83203125" style="307"/>
    <col min="10750" max="10750" width="4.5" style="307" customWidth="1"/>
    <col min="10751" max="10751" width="12.5" style="307" customWidth="1"/>
    <col min="10752" max="10752" width="11.83203125" style="307" customWidth="1"/>
    <col min="10753" max="10753" width="12.83203125" style="307" customWidth="1"/>
    <col min="10754" max="10754" width="11" style="307" customWidth="1"/>
    <col min="10755" max="10755" width="11.5" style="307" customWidth="1"/>
    <col min="10756" max="10757" width="11.33203125" style="307" customWidth="1"/>
    <col min="10758" max="10758" width="13.5" style="307" customWidth="1"/>
    <col min="10759" max="11005" width="8.83203125" style="307"/>
    <col min="11006" max="11006" width="4.5" style="307" customWidth="1"/>
    <col min="11007" max="11007" width="12.5" style="307" customWidth="1"/>
    <col min="11008" max="11008" width="11.83203125" style="307" customWidth="1"/>
    <col min="11009" max="11009" width="12.83203125" style="307" customWidth="1"/>
    <col min="11010" max="11010" width="11" style="307" customWidth="1"/>
    <col min="11011" max="11011" width="11.5" style="307" customWidth="1"/>
    <col min="11012" max="11013" width="11.33203125" style="307" customWidth="1"/>
    <col min="11014" max="11014" width="13.5" style="307" customWidth="1"/>
    <col min="11015" max="11261" width="8.83203125" style="307"/>
    <col min="11262" max="11262" width="4.5" style="307" customWidth="1"/>
    <col min="11263" max="11263" width="12.5" style="307" customWidth="1"/>
    <col min="11264" max="11264" width="11.83203125" style="307" customWidth="1"/>
    <col min="11265" max="11265" width="12.83203125" style="307" customWidth="1"/>
    <col min="11266" max="11266" width="11" style="307" customWidth="1"/>
    <col min="11267" max="11267" width="11.5" style="307" customWidth="1"/>
    <col min="11268" max="11269" width="11.33203125" style="307" customWidth="1"/>
    <col min="11270" max="11270" width="13.5" style="307" customWidth="1"/>
    <col min="11271" max="11517" width="8.83203125" style="307"/>
    <col min="11518" max="11518" width="4.5" style="307" customWidth="1"/>
    <col min="11519" max="11519" width="12.5" style="307" customWidth="1"/>
    <col min="11520" max="11520" width="11.83203125" style="307" customWidth="1"/>
    <col min="11521" max="11521" width="12.83203125" style="307" customWidth="1"/>
    <col min="11522" max="11522" width="11" style="307" customWidth="1"/>
    <col min="11523" max="11523" width="11.5" style="307" customWidth="1"/>
    <col min="11524" max="11525" width="11.33203125" style="307" customWidth="1"/>
    <col min="11526" max="11526" width="13.5" style="307" customWidth="1"/>
    <col min="11527" max="11773" width="8.83203125" style="307"/>
    <col min="11774" max="11774" width="4.5" style="307" customWidth="1"/>
    <col min="11775" max="11775" width="12.5" style="307" customWidth="1"/>
    <col min="11776" max="11776" width="11.83203125" style="307" customWidth="1"/>
    <col min="11777" max="11777" width="12.83203125" style="307" customWidth="1"/>
    <col min="11778" max="11778" width="11" style="307" customWidth="1"/>
    <col min="11779" max="11779" width="11.5" style="307" customWidth="1"/>
    <col min="11780" max="11781" width="11.33203125" style="307" customWidth="1"/>
    <col min="11782" max="11782" width="13.5" style="307" customWidth="1"/>
    <col min="11783" max="12029" width="8.83203125" style="307"/>
    <col min="12030" max="12030" width="4.5" style="307" customWidth="1"/>
    <col min="12031" max="12031" width="12.5" style="307" customWidth="1"/>
    <col min="12032" max="12032" width="11.83203125" style="307" customWidth="1"/>
    <col min="12033" max="12033" width="12.83203125" style="307" customWidth="1"/>
    <col min="12034" max="12034" width="11" style="307" customWidth="1"/>
    <col min="12035" max="12035" width="11.5" style="307" customWidth="1"/>
    <col min="12036" max="12037" width="11.33203125" style="307" customWidth="1"/>
    <col min="12038" max="12038" width="13.5" style="307" customWidth="1"/>
    <col min="12039" max="12285" width="8.83203125" style="307"/>
    <col min="12286" max="12286" width="4.5" style="307" customWidth="1"/>
    <col min="12287" max="12287" width="12.5" style="307" customWidth="1"/>
    <col min="12288" max="12288" width="11.83203125" style="307" customWidth="1"/>
    <col min="12289" max="12289" width="12.83203125" style="307" customWidth="1"/>
    <col min="12290" max="12290" width="11" style="307" customWidth="1"/>
    <col min="12291" max="12291" width="11.5" style="307" customWidth="1"/>
    <col min="12292" max="12293" width="11.33203125" style="307" customWidth="1"/>
    <col min="12294" max="12294" width="13.5" style="307" customWidth="1"/>
    <col min="12295" max="12541" width="8.83203125" style="307"/>
    <col min="12542" max="12542" width="4.5" style="307" customWidth="1"/>
    <col min="12543" max="12543" width="12.5" style="307" customWidth="1"/>
    <col min="12544" max="12544" width="11.83203125" style="307" customWidth="1"/>
    <col min="12545" max="12545" width="12.83203125" style="307" customWidth="1"/>
    <col min="12546" max="12546" width="11" style="307" customWidth="1"/>
    <col min="12547" max="12547" width="11.5" style="307" customWidth="1"/>
    <col min="12548" max="12549" width="11.33203125" style="307" customWidth="1"/>
    <col min="12550" max="12550" width="13.5" style="307" customWidth="1"/>
    <col min="12551" max="12797" width="8.83203125" style="307"/>
    <col min="12798" max="12798" width="4.5" style="307" customWidth="1"/>
    <col min="12799" max="12799" width="12.5" style="307" customWidth="1"/>
    <col min="12800" max="12800" width="11.83203125" style="307" customWidth="1"/>
    <col min="12801" max="12801" width="12.83203125" style="307" customWidth="1"/>
    <col min="12802" max="12802" width="11" style="307" customWidth="1"/>
    <col min="12803" max="12803" width="11.5" style="307" customWidth="1"/>
    <col min="12804" max="12805" width="11.33203125" style="307" customWidth="1"/>
    <col min="12806" max="12806" width="13.5" style="307" customWidth="1"/>
    <col min="12807" max="13053" width="8.83203125" style="307"/>
    <col min="13054" max="13054" width="4.5" style="307" customWidth="1"/>
    <col min="13055" max="13055" width="12.5" style="307" customWidth="1"/>
    <col min="13056" max="13056" width="11.83203125" style="307" customWidth="1"/>
    <col min="13057" max="13057" width="12.83203125" style="307" customWidth="1"/>
    <col min="13058" max="13058" width="11" style="307" customWidth="1"/>
    <col min="13059" max="13059" width="11.5" style="307" customWidth="1"/>
    <col min="13060" max="13061" width="11.33203125" style="307" customWidth="1"/>
    <col min="13062" max="13062" width="13.5" style="307" customWidth="1"/>
    <col min="13063" max="13309" width="8.83203125" style="307"/>
    <col min="13310" max="13310" width="4.5" style="307" customWidth="1"/>
    <col min="13311" max="13311" width="12.5" style="307" customWidth="1"/>
    <col min="13312" max="13312" width="11.83203125" style="307" customWidth="1"/>
    <col min="13313" max="13313" width="12.83203125" style="307" customWidth="1"/>
    <col min="13314" max="13314" width="11" style="307" customWidth="1"/>
    <col min="13315" max="13315" width="11.5" style="307" customWidth="1"/>
    <col min="13316" max="13317" width="11.33203125" style="307" customWidth="1"/>
    <col min="13318" max="13318" width="13.5" style="307" customWidth="1"/>
    <col min="13319" max="13565" width="8.83203125" style="307"/>
    <col min="13566" max="13566" width="4.5" style="307" customWidth="1"/>
    <col min="13567" max="13567" width="12.5" style="307" customWidth="1"/>
    <col min="13568" max="13568" width="11.83203125" style="307" customWidth="1"/>
    <col min="13569" max="13569" width="12.83203125" style="307" customWidth="1"/>
    <col min="13570" max="13570" width="11" style="307" customWidth="1"/>
    <col min="13571" max="13571" width="11.5" style="307" customWidth="1"/>
    <col min="13572" max="13573" width="11.33203125" style="307" customWidth="1"/>
    <col min="13574" max="13574" width="13.5" style="307" customWidth="1"/>
    <col min="13575" max="13821" width="8.83203125" style="307"/>
    <col min="13822" max="13822" width="4.5" style="307" customWidth="1"/>
    <col min="13823" max="13823" width="12.5" style="307" customWidth="1"/>
    <col min="13824" max="13824" width="11.83203125" style="307" customWidth="1"/>
    <col min="13825" max="13825" width="12.83203125" style="307" customWidth="1"/>
    <col min="13826" max="13826" width="11" style="307" customWidth="1"/>
    <col min="13827" max="13827" width="11.5" style="307" customWidth="1"/>
    <col min="13828" max="13829" width="11.33203125" style="307" customWidth="1"/>
    <col min="13830" max="13830" width="13.5" style="307" customWidth="1"/>
    <col min="13831" max="14077" width="8.83203125" style="307"/>
    <col min="14078" max="14078" width="4.5" style="307" customWidth="1"/>
    <col min="14079" max="14079" width="12.5" style="307" customWidth="1"/>
    <col min="14080" max="14080" width="11.83203125" style="307" customWidth="1"/>
    <col min="14081" max="14081" width="12.83203125" style="307" customWidth="1"/>
    <col min="14082" max="14082" width="11" style="307" customWidth="1"/>
    <col min="14083" max="14083" width="11.5" style="307" customWidth="1"/>
    <col min="14084" max="14085" width="11.33203125" style="307" customWidth="1"/>
    <col min="14086" max="14086" width="13.5" style="307" customWidth="1"/>
    <col min="14087" max="14333" width="8.83203125" style="307"/>
    <col min="14334" max="14334" width="4.5" style="307" customWidth="1"/>
    <col min="14335" max="14335" width="12.5" style="307" customWidth="1"/>
    <col min="14336" max="14336" width="11.83203125" style="307" customWidth="1"/>
    <col min="14337" max="14337" width="12.83203125" style="307" customWidth="1"/>
    <col min="14338" max="14338" width="11" style="307" customWidth="1"/>
    <col min="14339" max="14339" width="11.5" style="307" customWidth="1"/>
    <col min="14340" max="14341" width="11.33203125" style="307" customWidth="1"/>
    <col min="14342" max="14342" width="13.5" style="307" customWidth="1"/>
    <col min="14343" max="14589" width="8.83203125" style="307"/>
    <col min="14590" max="14590" width="4.5" style="307" customWidth="1"/>
    <col min="14591" max="14591" width="12.5" style="307" customWidth="1"/>
    <col min="14592" max="14592" width="11.83203125" style="307" customWidth="1"/>
    <col min="14593" max="14593" width="12.83203125" style="307" customWidth="1"/>
    <col min="14594" max="14594" width="11" style="307" customWidth="1"/>
    <col min="14595" max="14595" width="11.5" style="307" customWidth="1"/>
    <col min="14596" max="14597" width="11.33203125" style="307" customWidth="1"/>
    <col min="14598" max="14598" width="13.5" style="307" customWidth="1"/>
    <col min="14599" max="14845" width="8.83203125" style="307"/>
    <col min="14846" max="14846" width="4.5" style="307" customWidth="1"/>
    <col min="14847" max="14847" width="12.5" style="307" customWidth="1"/>
    <col min="14848" max="14848" width="11.83203125" style="307" customWidth="1"/>
    <col min="14849" max="14849" width="12.83203125" style="307" customWidth="1"/>
    <col min="14850" max="14850" width="11" style="307" customWidth="1"/>
    <col min="14851" max="14851" width="11.5" style="307" customWidth="1"/>
    <col min="14852" max="14853" width="11.33203125" style="307" customWidth="1"/>
    <col min="14854" max="14854" width="13.5" style="307" customWidth="1"/>
    <col min="14855" max="15101" width="8.83203125" style="307"/>
    <col min="15102" max="15102" width="4.5" style="307" customWidth="1"/>
    <col min="15103" max="15103" width="12.5" style="307" customWidth="1"/>
    <col min="15104" max="15104" width="11.83203125" style="307" customWidth="1"/>
    <col min="15105" max="15105" width="12.83203125" style="307" customWidth="1"/>
    <col min="15106" max="15106" width="11" style="307" customWidth="1"/>
    <col min="15107" max="15107" width="11.5" style="307" customWidth="1"/>
    <col min="15108" max="15109" width="11.33203125" style="307" customWidth="1"/>
    <col min="15110" max="15110" width="13.5" style="307" customWidth="1"/>
    <col min="15111" max="15357" width="8.83203125" style="307"/>
    <col min="15358" max="15358" width="4.5" style="307" customWidth="1"/>
    <col min="15359" max="15359" width="12.5" style="307" customWidth="1"/>
    <col min="15360" max="15360" width="11.83203125" style="307" customWidth="1"/>
    <col min="15361" max="15361" width="12.83203125" style="307" customWidth="1"/>
    <col min="15362" max="15362" width="11" style="307" customWidth="1"/>
    <col min="15363" max="15363" width="11.5" style="307" customWidth="1"/>
    <col min="15364" max="15365" width="11.33203125" style="307" customWidth="1"/>
    <col min="15366" max="15366" width="13.5" style="307" customWidth="1"/>
    <col min="15367" max="15613" width="8.83203125" style="307"/>
    <col min="15614" max="15614" width="4.5" style="307" customWidth="1"/>
    <col min="15615" max="15615" width="12.5" style="307" customWidth="1"/>
    <col min="15616" max="15616" width="11.83203125" style="307" customWidth="1"/>
    <col min="15617" max="15617" width="12.83203125" style="307" customWidth="1"/>
    <col min="15618" max="15618" width="11" style="307" customWidth="1"/>
    <col min="15619" max="15619" width="11.5" style="307" customWidth="1"/>
    <col min="15620" max="15621" width="11.33203125" style="307" customWidth="1"/>
    <col min="15622" max="15622" width="13.5" style="307" customWidth="1"/>
    <col min="15623" max="15869" width="8.83203125" style="307"/>
    <col min="15870" max="15870" width="4.5" style="307" customWidth="1"/>
    <col min="15871" max="15871" width="12.5" style="307" customWidth="1"/>
    <col min="15872" max="15872" width="11.83203125" style="307" customWidth="1"/>
    <col min="15873" max="15873" width="12.83203125" style="307" customWidth="1"/>
    <col min="15874" max="15874" width="11" style="307" customWidth="1"/>
    <col min="15875" max="15875" width="11.5" style="307" customWidth="1"/>
    <col min="15876" max="15877" width="11.33203125" style="307" customWidth="1"/>
    <col min="15878" max="15878" width="13.5" style="307" customWidth="1"/>
    <col min="15879" max="16125" width="8.83203125" style="307"/>
    <col min="16126" max="16126" width="4.5" style="307" customWidth="1"/>
    <col min="16127" max="16127" width="12.5" style="307" customWidth="1"/>
    <col min="16128" max="16128" width="11.83203125" style="307" customWidth="1"/>
    <col min="16129" max="16129" width="12.83203125" style="307" customWidth="1"/>
    <col min="16130" max="16130" width="11" style="307" customWidth="1"/>
    <col min="16131" max="16131" width="11.5" style="307" customWidth="1"/>
    <col min="16132" max="16133" width="11.33203125" style="307" customWidth="1"/>
    <col min="16134" max="16134" width="13.5" style="307" customWidth="1"/>
    <col min="16135" max="16384" width="8.83203125" style="307"/>
  </cols>
  <sheetData>
    <row r="1" spans="1:16" ht="33" customHeight="1">
      <c r="A1" s="770" t="s">
        <v>104</v>
      </c>
      <c r="B1" s="771"/>
      <c r="C1" s="771"/>
      <c r="D1" s="771"/>
      <c r="E1" s="771"/>
      <c r="F1" s="771"/>
      <c r="G1" s="771"/>
      <c r="H1" s="771"/>
    </row>
    <row r="2" spans="1:16" ht="22" customHeight="1">
      <c r="A2" s="308" t="str">
        <f>'Amortization-HIDDEN-Q'!A2</f>
        <v>4.1.5.c</v>
      </c>
      <c r="B2" s="308" t="str">
        <f>'Amortization-HIDDEN-Q'!B2</f>
        <v>04232024</v>
      </c>
      <c r="C2" s="308"/>
      <c r="D2" s="308"/>
      <c r="E2" s="308"/>
      <c r="F2" s="308"/>
      <c r="G2" s="308"/>
      <c r="H2" s="308"/>
    </row>
    <row r="3" spans="1:16" ht="19.5" customHeight="1" thickBot="1">
      <c r="A3" s="309"/>
      <c r="B3" s="309"/>
      <c r="C3" s="309"/>
      <c r="D3" s="310" t="s">
        <v>92</v>
      </c>
      <c r="E3" s="310"/>
      <c r="F3" s="309"/>
      <c r="G3" s="309"/>
      <c r="H3" s="306"/>
      <c r="I3" s="311"/>
      <c r="J3" s="311"/>
      <c r="L3" s="311"/>
    </row>
    <row r="4" spans="1:16">
      <c r="A4" s="769" t="s">
        <v>93</v>
      </c>
      <c r="B4" s="769"/>
      <c r="C4" s="769"/>
      <c r="D4" s="312">
        <f>'Summary Schedule'!G26+'Summary Schedule'!G27+'Summary Schedule'!G28-'Summary Schedule'!G29</f>
        <v>18024232.379310332</v>
      </c>
      <c r="E4" s="309" t="s">
        <v>102</v>
      </c>
      <c r="F4" s="307"/>
      <c r="G4" s="307"/>
      <c r="H4" s="307"/>
      <c r="I4" s="307"/>
      <c r="L4" s="311"/>
    </row>
    <row r="5" spans="1:16">
      <c r="A5" s="769" t="s">
        <v>117</v>
      </c>
      <c r="B5" s="769"/>
      <c r="C5" s="769"/>
      <c r="D5" s="313">
        <f>'Summary Schedule'!C30/12</f>
        <v>4.1666666666666666E-3</v>
      </c>
      <c r="E5" s="309" t="s">
        <v>102</v>
      </c>
      <c r="F5" s="307"/>
      <c r="G5" s="307"/>
      <c r="H5" s="314"/>
      <c r="I5" s="307"/>
      <c r="L5" s="311"/>
    </row>
    <row r="6" spans="1:16">
      <c r="A6" s="769" t="s">
        <v>118</v>
      </c>
      <c r="B6" s="769"/>
      <c r="C6" s="769"/>
      <c r="D6" s="315">
        <v>480</v>
      </c>
      <c r="E6" s="309" t="s">
        <v>108</v>
      </c>
      <c r="F6" s="307"/>
      <c r="G6" s="316"/>
      <c r="H6" s="307"/>
      <c r="I6" s="317"/>
      <c r="L6" s="311"/>
    </row>
    <row r="7" spans="1:16" ht="14" thickBot="1">
      <c r="A7" s="769" t="s">
        <v>94</v>
      </c>
      <c r="B7" s="769"/>
      <c r="C7" s="769"/>
      <c r="D7" s="318">
        <f>IF('Summary Schedule'!G32="",1/1/1,'Summary Schedule'!G32)</f>
        <v>46315</v>
      </c>
      <c r="E7" s="309" t="s">
        <v>102</v>
      </c>
      <c r="F7" s="307"/>
      <c r="G7" s="307"/>
      <c r="H7" s="307"/>
      <c r="I7" s="307"/>
      <c r="L7" s="311"/>
    </row>
    <row r="8" spans="1:16">
      <c r="A8" s="319"/>
      <c r="B8" s="319"/>
      <c r="C8" s="319"/>
      <c r="D8" s="320"/>
      <c r="E8" s="319"/>
      <c r="F8" s="307"/>
      <c r="G8" s="307"/>
      <c r="H8" s="307"/>
      <c r="I8" s="307"/>
      <c r="L8" s="311"/>
    </row>
    <row r="9" spans="1:16" ht="14.25" customHeight="1" thickBot="1">
      <c r="A9" s="309"/>
      <c r="B9" s="309"/>
      <c r="C9" s="309"/>
      <c r="D9" s="309"/>
      <c r="E9" s="309"/>
      <c r="F9" s="307"/>
      <c r="G9" s="307"/>
      <c r="H9" s="307"/>
      <c r="I9" s="307"/>
      <c r="L9" s="311"/>
      <c r="M9" s="314"/>
    </row>
    <row r="10" spans="1:16" ht="14.25" customHeight="1" thickBot="1">
      <c r="A10" s="769" t="s">
        <v>358</v>
      </c>
      <c r="B10" s="769"/>
      <c r="C10" s="769"/>
      <c r="D10" s="342">
        <f>IF('Summary Schedule'!C36="Beginning",1,0)</f>
        <v>0</v>
      </c>
      <c r="E10" s="309" t="s">
        <v>103</v>
      </c>
      <c r="F10" s="307"/>
      <c r="G10" s="307"/>
      <c r="H10" s="307"/>
      <c r="I10" s="307"/>
      <c r="L10" s="311"/>
    </row>
    <row r="11" spans="1:16" ht="14.25" customHeight="1">
      <c r="A11" s="769" t="s">
        <v>127</v>
      </c>
      <c r="B11" s="769"/>
      <c r="C11" s="769"/>
      <c r="D11" s="315">
        <f ca="1">M15</f>
        <v>18</v>
      </c>
      <c r="E11" s="309"/>
      <c r="F11" s="307"/>
      <c r="G11" s="322"/>
      <c r="H11" s="307"/>
      <c r="I11" s="307"/>
    </row>
    <row r="12" spans="1:16">
      <c r="A12" s="769" t="s">
        <v>125</v>
      </c>
      <c r="B12" s="769"/>
      <c r="C12" s="769"/>
      <c r="D12" s="323"/>
      <c r="E12" s="324"/>
      <c r="F12" s="96"/>
      <c r="G12" s="96"/>
      <c r="H12" s="307"/>
      <c r="I12" s="307"/>
    </row>
    <row r="13" spans="1:16">
      <c r="A13" s="769" t="s">
        <v>95</v>
      </c>
      <c r="B13" s="769"/>
      <c r="C13" s="769"/>
      <c r="D13" s="325"/>
      <c r="E13" s="324"/>
      <c r="F13" s="307"/>
      <c r="G13" s="307"/>
      <c r="H13" s="307"/>
      <c r="I13" s="307"/>
    </row>
    <row r="14" spans="1:16" ht="14.25" customHeight="1" thickBot="1">
      <c r="A14" s="769" t="s">
        <v>128</v>
      </c>
      <c r="B14" s="769"/>
      <c r="C14" s="769"/>
      <c r="D14" s="326"/>
      <c r="E14" s="309"/>
      <c r="F14" s="327"/>
      <c r="G14" s="327"/>
      <c r="H14" s="327"/>
      <c r="I14" s="307"/>
    </row>
    <row r="15" spans="1:16" ht="15.75" customHeight="1">
      <c r="A15" s="769"/>
      <c r="B15" s="769"/>
      <c r="C15" s="769"/>
      <c r="D15" s="328" t="s">
        <v>122</v>
      </c>
      <c r="E15" s="320"/>
      <c r="F15" s="307"/>
      <c r="G15" s="307"/>
      <c r="H15" s="327"/>
      <c r="I15" s="307"/>
      <c r="M15" s="307">
        <f ca="1">COUNTIF(M17:M56,"&lt;&gt;0")</f>
        <v>18</v>
      </c>
    </row>
    <row r="16" spans="1:16" s="334" customFormat="1" ht="28.5" customHeight="1">
      <c r="A16" s="329" t="s">
        <v>96</v>
      </c>
      <c r="B16" s="329" t="s">
        <v>97</v>
      </c>
      <c r="C16" s="329" t="s">
        <v>98</v>
      </c>
      <c r="D16" s="330"/>
      <c r="E16" s="329" t="s">
        <v>126</v>
      </c>
      <c r="F16" s="329" t="s">
        <v>99</v>
      </c>
      <c r="G16" s="329" t="s">
        <v>100</v>
      </c>
      <c r="H16" s="329" t="s">
        <v>101</v>
      </c>
      <c r="I16" s="331"/>
      <c r="J16" s="332" t="s">
        <v>115</v>
      </c>
      <c r="K16" s="332" t="s">
        <v>114</v>
      </c>
      <c r="L16" s="332" t="s">
        <v>124</v>
      </c>
      <c r="M16" s="332" t="s">
        <v>116</v>
      </c>
      <c r="N16" s="332" t="str">
        <f>F16</f>
        <v>Principal</v>
      </c>
      <c r="O16" s="332" t="str">
        <f>G16</f>
        <v>Interest</v>
      </c>
      <c r="P16" s="333"/>
    </row>
    <row r="17" spans="1:22">
      <c r="A17" s="335">
        <v>0</v>
      </c>
      <c r="B17" s="335"/>
      <c r="C17" s="336"/>
      <c r="D17" s="336">
        <f ca="1">IF(H17&lt;0,0,0.5*(K17-L17))</f>
        <v>679914</v>
      </c>
      <c r="E17" s="336"/>
      <c r="F17" s="336"/>
      <c r="G17" s="336"/>
      <c r="H17" s="336">
        <f>D4</f>
        <v>18024232.379310332</v>
      </c>
      <c r="I17" s="337">
        <f ca="1">ROUND((D17-H17),0)</f>
        <v>-17344318</v>
      </c>
      <c r="J17" s="338">
        <v>1</v>
      </c>
      <c r="K17" s="122" cm="1">
        <f t="array" aca="1" ref="K17" ca="1">'Itemized Costs-HIDDEN'!M5-INDIRECT("'Sch3-Perf Period Cash Flow'!D"&amp;7&amp;"")</f>
        <v>1485411</v>
      </c>
      <c r="L17" s="468" cm="1">
        <f t="array" ref="L17:L56">TRANSPOSE('Sch3-Perf Period Cash Flow'!D21:AQ21)</f>
        <v>125583</v>
      </c>
      <c r="M17" s="122">
        <f ca="1">N17+O17</f>
        <v>1359828</v>
      </c>
      <c r="N17" s="122">
        <f ca="1">ROUND(SUM(INDIRECT(S17):INDIRECT(T17)),0)</f>
        <v>460587</v>
      </c>
      <c r="O17" s="122">
        <f ca="1">IF(N17=0,0,ROUND(SUM(INDIRECT(U17):INDIRECT(V17)),0))</f>
        <v>899241</v>
      </c>
      <c r="P17" s="123">
        <f ca="1">IF(N17&gt;0.005,J17,"")</f>
        <v>1</v>
      </c>
      <c r="Q17" s="1">
        <v>18</v>
      </c>
      <c r="R17" s="1">
        <f t="shared" ref="R17:R34" si="0">Q17+11</f>
        <v>29</v>
      </c>
      <c r="S17" s="1" t="str">
        <f>CONCATENATE("f",Q17)</f>
        <v>f18</v>
      </c>
      <c r="T17" s="1" t="str">
        <f>CONCATENATE("f",R17)</f>
        <v>f29</v>
      </c>
      <c r="U17" s="1" t="str">
        <f t="shared" ref="U17:V32" si="1">CONCATENATE("G",Q17)</f>
        <v>G18</v>
      </c>
      <c r="V17" s="1" t="str">
        <f t="shared" si="1"/>
        <v>G29</v>
      </c>
    </row>
    <row r="18" spans="1:22">
      <c r="A18" s="335">
        <f>IF(A17="","",IF(A17=$D$6,"",A17+1))</f>
        <v>1</v>
      </c>
      <c r="B18" s="340">
        <f>D7</f>
        <v>46315</v>
      </c>
      <c r="C18" s="336">
        <f>IF(H17=0,0,H17)</f>
        <v>18024232.379310332</v>
      </c>
      <c r="D18" s="335"/>
      <c r="E18" s="336">
        <f>IF($D$10=1,IF(OR(MONTH(B18)=MONTH(EDATE($D$7,0)),MONTH(B18)=MONTH(EDATE($D$7,6))),(MIN($D$17,H17)),0),IF($D$10=0,IF(OR(MONTH(B18)=MONTH(EDATE($D$7,5)),MONTH(B18)=MONTH(EDATE($D$7,11))),(MIN($D$17,H17)),0)))</f>
        <v>0</v>
      </c>
      <c r="F18" s="336">
        <f t="shared" ref="F18:F81" si="2">IF(E18="","",E18-G18)</f>
        <v>-75100.967999999993</v>
      </c>
      <c r="G18" s="336">
        <f>ROUND((C18-E18)*$D$5,3)</f>
        <v>75100.967999999993</v>
      </c>
      <c r="H18" s="336">
        <f>IF(E18="","",ROUND(H17-F18,4))</f>
        <v>18099333.3473</v>
      </c>
      <c r="I18" s="337">
        <f t="shared" ref="I18:I81" si="3">ROUND((D18-H18),0)</f>
        <v>-18099333</v>
      </c>
      <c r="J18" s="338">
        <v>2</v>
      </c>
      <c r="K18" s="122" cm="1">
        <f t="array" aca="1" ref="K18" ca="1">'Itemized Costs-HIDDEN'!M6-INDIRECT("'Sch3-Perf Period Cash Flow'!D"&amp;7&amp;"")</f>
        <v>1515189</v>
      </c>
      <c r="L18" s="469">
        <v>128472</v>
      </c>
      <c r="M18" s="122">
        <f t="shared" ref="M18:M56" ca="1" si="4">N18+O18</f>
        <v>1386717</v>
      </c>
      <c r="N18" s="122">
        <f ca="1">ROUND(SUM(INDIRECT(S18):INDIRECT(T18)),0)</f>
        <v>511494</v>
      </c>
      <c r="O18" s="122">
        <f ca="1">IF(N18=0,0,ROUND(SUM(INDIRECT(U18):INDIRECT(V18)),0))</f>
        <v>875223</v>
      </c>
      <c r="P18" s="123">
        <f t="shared" ref="P18:P56" ca="1" si="5">IF(N18&gt;0.005,J18,"")</f>
        <v>2</v>
      </c>
      <c r="Q18" s="1">
        <f>Q17+12</f>
        <v>30</v>
      </c>
      <c r="R18" s="1">
        <f t="shared" si="0"/>
        <v>41</v>
      </c>
      <c r="S18" s="1" t="str">
        <f t="shared" ref="S18:T56" si="6">CONCATENATE("f",Q18)</f>
        <v>f30</v>
      </c>
      <c r="T18" s="1" t="str">
        <f t="shared" si="6"/>
        <v>f41</v>
      </c>
      <c r="U18" s="1" t="str">
        <f t="shared" si="1"/>
        <v>G30</v>
      </c>
      <c r="V18" s="1" t="str">
        <f t="shared" si="1"/>
        <v>G41</v>
      </c>
    </row>
    <row r="19" spans="1:22">
      <c r="A19" s="335">
        <f t="shared" ref="A19:A82" si="7">IF(A18="","",IF(A18=$D$6,"",A18+1))</f>
        <v>2</v>
      </c>
      <c r="B19" s="340">
        <f>DATE(YEAR(B18),MONTH(B18)+1,1)</f>
        <v>46327</v>
      </c>
      <c r="C19" s="336">
        <f t="shared" ref="C19:C82" si="8">IF(H18=0,0,H18)</f>
        <v>18099333.3473</v>
      </c>
      <c r="D19" s="335"/>
      <c r="E19" s="336">
        <f t="shared" ref="E19:E29" si="9">IF($D$10=1,IF(OR(MONTH(B19)=MONTH(EDATE($D$7,0)),MONTH(B19)=MONTH(EDATE($D$7,6))),(MIN($D$17,H18)),0),IF($D$10=0,IF(OR(MONTH(B19)=MONTH(EDATE($D$7,5)),MONTH(B19)=MONTH(EDATE($D$7,11))),(MIN($D$17,H18)),0)))</f>
        <v>0</v>
      </c>
      <c r="F19" s="336">
        <f t="shared" si="2"/>
        <v>-75413.888999999996</v>
      </c>
      <c r="G19" s="336">
        <f t="shared" ref="G19:G82" si="10">ROUND((C19-E19)*$D$5,3)</f>
        <v>75413.888999999996</v>
      </c>
      <c r="H19" s="336">
        <f t="shared" ref="H19:H82" si="11">IF(E19="","",ROUND(H18-F19,4))</f>
        <v>18174747.236299999</v>
      </c>
      <c r="I19" s="337">
        <f t="shared" si="3"/>
        <v>-18174747</v>
      </c>
      <c r="J19" s="338">
        <v>3</v>
      </c>
      <c r="K19" s="122" cm="1">
        <f t="array" aca="1" ref="K19" ca="1">'Itemized Costs-HIDDEN'!M7-INDIRECT("'Sch3-Perf Period Cash Flow'!D"&amp;7&amp;"")</f>
        <v>1545710</v>
      </c>
      <c r="L19" s="469">
        <v>131427</v>
      </c>
      <c r="M19" s="122">
        <f t="shared" ca="1" si="4"/>
        <v>1414283</v>
      </c>
      <c r="N19" s="122">
        <f ca="1">ROUND(SUM(INDIRECT(S19):INDIRECT(T19)),0)</f>
        <v>565694</v>
      </c>
      <c r="O19" s="122">
        <f ca="1">IF(N19=0,0,ROUND(SUM(INDIRECT(U19):INDIRECT(V19)),0))</f>
        <v>848589</v>
      </c>
      <c r="P19" s="123">
        <f t="shared" ca="1" si="5"/>
        <v>3</v>
      </c>
      <c r="Q19" s="1">
        <f t="shared" ref="Q19:Q56" si="12">Q18+12</f>
        <v>42</v>
      </c>
      <c r="R19" s="1">
        <f t="shared" si="0"/>
        <v>53</v>
      </c>
      <c r="S19" s="1" t="str">
        <f t="shared" si="6"/>
        <v>f42</v>
      </c>
      <c r="T19" s="1" t="str">
        <f t="shared" si="6"/>
        <v>f53</v>
      </c>
      <c r="U19" s="1" t="str">
        <f t="shared" si="1"/>
        <v>G42</v>
      </c>
      <c r="V19" s="1" t="str">
        <f t="shared" si="1"/>
        <v>G53</v>
      </c>
    </row>
    <row r="20" spans="1:22">
      <c r="A20" s="335">
        <f t="shared" si="7"/>
        <v>3</v>
      </c>
      <c r="B20" s="340">
        <f t="shared" ref="B20:B83" si="13">DATE(YEAR(B19),MONTH(B19)+1,1)</f>
        <v>46357</v>
      </c>
      <c r="C20" s="336">
        <f t="shared" si="8"/>
        <v>18174747.236299999</v>
      </c>
      <c r="D20" s="335"/>
      <c r="E20" s="336">
        <f t="shared" si="9"/>
        <v>0</v>
      </c>
      <c r="F20" s="336">
        <f t="shared" si="2"/>
        <v>-75728.112999999998</v>
      </c>
      <c r="G20" s="336">
        <f t="shared" si="10"/>
        <v>75728.112999999998</v>
      </c>
      <c r="H20" s="336">
        <f t="shared" si="11"/>
        <v>18250475.349300001</v>
      </c>
      <c r="I20" s="337">
        <f t="shared" si="3"/>
        <v>-18250475</v>
      </c>
      <c r="J20" s="338">
        <v>4</v>
      </c>
      <c r="K20" s="122" cm="1">
        <f t="array" aca="1" ref="K20" ca="1">'Itemized Costs-HIDDEN'!M8-INDIRECT("'Sch3-Perf Period Cash Flow'!D"&amp;7&amp;"")</f>
        <v>1576996</v>
      </c>
      <c r="L20" s="469">
        <v>134450</v>
      </c>
      <c r="M20" s="122">
        <f t="shared" ca="1" si="4"/>
        <v>1442546</v>
      </c>
      <c r="N20" s="122">
        <f ca="1">ROUND(SUM(INDIRECT(S20):INDIRECT(T20)),0)</f>
        <v>623375</v>
      </c>
      <c r="O20" s="122">
        <f ca="1">IF(N20=0,0,ROUND(SUM(INDIRECT(U20):INDIRECT(V20)),0))</f>
        <v>819171</v>
      </c>
      <c r="P20" s="123">
        <f t="shared" ca="1" si="5"/>
        <v>4</v>
      </c>
      <c r="Q20" s="1">
        <f t="shared" si="12"/>
        <v>54</v>
      </c>
      <c r="R20" s="1">
        <f t="shared" si="0"/>
        <v>65</v>
      </c>
      <c r="S20" s="1" t="str">
        <f t="shared" si="6"/>
        <v>f54</v>
      </c>
      <c r="T20" s="1" t="str">
        <f t="shared" si="6"/>
        <v>f65</v>
      </c>
      <c r="U20" s="1" t="str">
        <f t="shared" si="1"/>
        <v>G54</v>
      </c>
      <c r="V20" s="1" t="str">
        <f t="shared" si="1"/>
        <v>G65</v>
      </c>
    </row>
    <row r="21" spans="1:22">
      <c r="A21" s="335">
        <f t="shared" si="7"/>
        <v>4</v>
      </c>
      <c r="B21" s="340">
        <f t="shared" si="13"/>
        <v>46388</v>
      </c>
      <c r="C21" s="336">
        <f t="shared" si="8"/>
        <v>18250475.349300001</v>
      </c>
      <c r="D21" s="335"/>
      <c r="E21" s="336">
        <f t="shared" si="9"/>
        <v>0</v>
      </c>
      <c r="F21" s="336">
        <f t="shared" si="2"/>
        <v>-76043.646999999997</v>
      </c>
      <c r="G21" s="336">
        <f t="shared" si="10"/>
        <v>76043.646999999997</v>
      </c>
      <c r="H21" s="336">
        <f t="shared" si="11"/>
        <v>18326518.996300001</v>
      </c>
      <c r="I21" s="337">
        <f t="shared" si="3"/>
        <v>-18326519</v>
      </c>
      <c r="J21" s="338">
        <v>5</v>
      </c>
      <c r="K21" s="122" cm="1">
        <f t="array" aca="1" ref="K21" ca="1">'Itemized Costs-HIDDEN'!M9-INDIRECT("'Sch3-Perf Period Cash Flow'!D"&amp;7&amp;"")</f>
        <v>1609068</v>
      </c>
      <c r="L21" s="469">
        <v>137542</v>
      </c>
      <c r="M21" s="122">
        <f t="shared" ca="1" si="4"/>
        <v>1471526</v>
      </c>
      <c r="N21" s="122">
        <f ca="1">ROUND(SUM(INDIRECT(S21):INDIRECT(T21)),0)</f>
        <v>684736</v>
      </c>
      <c r="O21" s="122">
        <f ca="1">IF(N21=0,0,ROUND(SUM(INDIRECT(U21):INDIRECT(V21)),0))</f>
        <v>786790</v>
      </c>
      <c r="P21" s="123">
        <f t="shared" ca="1" si="5"/>
        <v>5</v>
      </c>
      <c r="Q21" s="1">
        <f t="shared" si="12"/>
        <v>66</v>
      </c>
      <c r="R21" s="1">
        <f t="shared" si="0"/>
        <v>77</v>
      </c>
      <c r="S21" s="1" t="str">
        <f t="shared" si="6"/>
        <v>f66</v>
      </c>
      <c r="T21" s="1" t="str">
        <f t="shared" si="6"/>
        <v>f77</v>
      </c>
      <c r="U21" s="1" t="str">
        <f t="shared" si="1"/>
        <v>G66</v>
      </c>
      <c r="V21" s="1" t="str">
        <f t="shared" si="1"/>
        <v>G77</v>
      </c>
    </row>
    <row r="22" spans="1:22">
      <c r="A22" s="335">
        <f t="shared" si="7"/>
        <v>5</v>
      </c>
      <c r="B22" s="340">
        <f t="shared" si="13"/>
        <v>46419</v>
      </c>
      <c r="C22" s="336">
        <f t="shared" si="8"/>
        <v>18326518.996300001</v>
      </c>
      <c r="D22" s="335"/>
      <c r="E22" s="336">
        <f t="shared" si="9"/>
        <v>0</v>
      </c>
      <c r="F22" s="336">
        <f t="shared" si="2"/>
        <v>-76360.495999999999</v>
      </c>
      <c r="G22" s="336">
        <f t="shared" si="10"/>
        <v>76360.495999999999</v>
      </c>
      <c r="H22" s="336">
        <f t="shared" si="11"/>
        <v>18402879.4923</v>
      </c>
      <c r="I22" s="337">
        <f t="shared" si="3"/>
        <v>-18402879</v>
      </c>
      <c r="J22" s="338">
        <v>6</v>
      </c>
      <c r="K22" s="122" cm="1">
        <f t="array" aca="1" ref="K22" ca="1">'Itemized Costs-HIDDEN'!M10-INDIRECT("'Sch3-Perf Period Cash Flow'!D"&amp;7&amp;"")</f>
        <v>1641951</v>
      </c>
      <c r="L22" s="469">
        <v>140705</v>
      </c>
      <c r="M22" s="122">
        <f t="shared" ca="1" si="4"/>
        <v>1501246</v>
      </c>
      <c r="N22" s="122">
        <f ca="1">ROUND(SUM(INDIRECT(S22):INDIRECT(T22)),0)</f>
        <v>749989</v>
      </c>
      <c r="O22" s="122">
        <f ca="1">IF(N22=0,0,ROUND(SUM(INDIRECT(U22):INDIRECT(V22)),0))</f>
        <v>751257</v>
      </c>
      <c r="P22" s="123">
        <f t="shared" ca="1" si="5"/>
        <v>6</v>
      </c>
      <c r="Q22" s="1">
        <f t="shared" si="12"/>
        <v>78</v>
      </c>
      <c r="R22" s="1">
        <f t="shared" si="0"/>
        <v>89</v>
      </c>
      <c r="S22" s="1" t="str">
        <f t="shared" si="6"/>
        <v>f78</v>
      </c>
      <c r="T22" s="1" t="str">
        <f t="shared" si="6"/>
        <v>f89</v>
      </c>
      <c r="U22" s="1" t="str">
        <f t="shared" si="1"/>
        <v>G78</v>
      </c>
      <c r="V22" s="1" t="str">
        <f t="shared" si="1"/>
        <v>G89</v>
      </c>
    </row>
    <row r="23" spans="1:22">
      <c r="A23" s="335">
        <f t="shared" si="7"/>
        <v>6</v>
      </c>
      <c r="B23" s="340">
        <f t="shared" si="13"/>
        <v>46447</v>
      </c>
      <c r="C23" s="336">
        <f t="shared" si="8"/>
        <v>18402879.4923</v>
      </c>
      <c r="D23" s="335"/>
      <c r="E23" s="336">
        <f t="shared" ca="1" si="9"/>
        <v>679914</v>
      </c>
      <c r="F23" s="336">
        <f t="shared" ca="1" si="2"/>
        <v>606068.31000000006</v>
      </c>
      <c r="G23" s="336">
        <f t="shared" ca="1" si="10"/>
        <v>73845.69</v>
      </c>
      <c r="H23" s="336">
        <f t="shared" ca="1" si="11"/>
        <v>17796811.182300001</v>
      </c>
      <c r="I23" s="337">
        <f t="shared" ca="1" si="3"/>
        <v>-17796811</v>
      </c>
      <c r="J23" s="338">
        <v>7</v>
      </c>
      <c r="K23" s="122" cm="1">
        <f t="array" aca="1" ref="K23" ca="1">'Itemized Costs-HIDDEN'!M11-INDIRECT("'Sch3-Perf Period Cash Flow'!D"&amp;7&amp;"")</f>
        <v>1675669</v>
      </c>
      <c r="L23" s="469">
        <v>143941</v>
      </c>
      <c r="M23" s="122">
        <f t="shared" ca="1" si="4"/>
        <v>1531728</v>
      </c>
      <c r="N23" s="122">
        <f ca="1">ROUND(SUM(INDIRECT(S23):INDIRECT(T23)),0)</f>
        <v>819356</v>
      </c>
      <c r="O23" s="122">
        <f ca="1">IF(N23=0,0,ROUND(SUM(INDIRECT(U23):INDIRECT(V23)),0))</f>
        <v>712372</v>
      </c>
      <c r="P23" s="123">
        <f t="shared" ca="1" si="5"/>
        <v>7</v>
      </c>
      <c r="Q23" s="1">
        <f t="shared" si="12"/>
        <v>90</v>
      </c>
      <c r="R23" s="1">
        <f t="shared" si="0"/>
        <v>101</v>
      </c>
      <c r="S23" s="1" t="str">
        <f t="shared" si="6"/>
        <v>f90</v>
      </c>
      <c r="T23" s="1" t="str">
        <f t="shared" si="6"/>
        <v>f101</v>
      </c>
      <c r="U23" s="1" t="str">
        <f t="shared" si="1"/>
        <v>G90</v>
      </c>
      <c r="V23" s="1" t="str">
        <f t="shared" si="1"/>
        <v>G101</v>
      </c>
    </row>
    <row r="24" spans="1:22">
      <c r="A24" s="335">
        <f t="shared" si="7"/>
        <v>7</v>
      </c>
      <c r="B24" s="340">
        <f t="shared" si="13"/>
        <v>46478</v>
      </c>
      <c r="C24" s="336">
        <f t="shared" ca="1" si="8"/>
        <v>17796811.182300001</v>
      </c>
      <c r="D24" s="335"/>
      <c r="E24" s="336">
        <f t="shared" si="9"/>
        <v>0</v>
      </c>
      <c r="F24" s="336">
        <f t="shared" ca="1" si="2"/>
        <v>-74153.38</v>
      </c>
      <c r="G24" s="336">
        <f t="shared" ca="1" si="10"/>
        <v>74153.38</v>
      </c>
      <c r="H24" s="336">
        <f t="shared" ca="1" si="11"/>
        <v>17870964.5623</v>
      </c>
      <c r="I24" s="337">
        <f t="shared" ca="1" si="3"/>
        <v>-17870965</v>
      </c>
      <c r="J24" s="338">
        <v>8</v>
      </c>
      <c r="K24" s="122" cm="1">
        <f t="array" aca="1" ref="K24" ca="1">'Itemized Costs-HIDDEN'!M12-INDIRECT("'Sch3-Perf Period Cash Flow'!D"&amp;7&amp;"")</f>
        <v>1710246</v>
      </c>
      <c r="L24" s="469">
        <v>147252</v>
      </c>
      <c r="M24" s="122">
        <f t="shared" ca="1" si="4"/>
        <v>1562994</v>
      </c>
      <c r="N24" s="122">
        <f ca="1">ROUND(SUM(INDIRECT(S24):INDIRECT(T24)),0)</f>
        <v>893068</v>
      </c>
      <c r="O24" s="122">
        <f ca="1">IF(N24=0,0,ROUND(SUM(INDIRECT(U24):INDIRECT(V24)),0))</f>
        <v>669926</v>
      </c>
      <c r="P24" s="123">
        <f t="shared" ca="1" si="5"/>
        <v>8</v>
      </c>
      <c r="Q24" s="1">
        <f t="shared" si="12"/>
        <v>102</v>
      </c>
      <c r="R24" s="1">
        <f t="shared" si="0"/>
        <v>113</v>
      </c>
      <c r="S24" s="1" t="str">
        <f t="shared" si="6"/>
        <v>f102</v>
      </c>
      <c r="T24" s="1" t="str">
        <f t="shared" si="6"/>
        <v>f113</v>
      </c>
      <c r="U24" s="1" t="str">
        <f t="shared" si="1"/>
        <v>G102</v>
      </c>
      <c r="V24" s="1" t="str">
        <f t="shared" si="1"/>
        <v>G113</v>
      </c>
    </row>
    <row r="25" spans="1:22">
      <c r="A25" s="335">
        <f t="shared" si="7"/>
        <v>8</v>
      </c>
      <c r="B25" s="340">
        <f t="shared" si="13"/>
        <v>46508</v>
      </c>
      <c r="C25" s="336">
        <f t="shared" ca="1" si="8"/>
        <v>17870964.5623</v>
      </c>
      <c r="D25" s="335"/>
      <c r="E25" s="336">
        <f t="shared" si="9"/>
        <v>0</v>
      </c>
      <c r="F25" s="336">
        <f t="shared" ca="1" si="2"/>
        <v>-74462.351999999999</v>
      </c>
      <c r="G25" s="336">
        <f t="shared" ca="1" si="10"/>
        <v>74462.351999999999</v>
      </c>
      <c r="H25" s="336">
        <f t="shared" ca="1" si="11"/>
        <v>17945426.914299998</v>
      </c>
      <c r="I25" s="337">
        <f t="shared" ca="1" si="3"/>
        <v>-17945427</v>
      </c>
      <c r="J25" s="338">
        <v>9</v>
      </c>
      <c r="K25" s="122" cm="1">
        <f t="array" aca="1" ref="K25" ca="1">'Itemized Costs-HIDDEN'!M13-INDIRECT("'Sch3-Perf Period Cash Flow'!D"&amp;7&amp;"")</f>
        <v>1745709</v>
      </c>
      <c r="L25" s="469">
        <v>150639</v>
      </c>
      <c r="M25" s="122">
        <f t="shared" ca="1" si="4"/>
        <v>1595070</v>
      </c>
      <c r="N25" s="122">
        <f ca="1">ROUND(SUM(INDIRECT(S25):INDIRECT(T25)),0)</f>
        <v>971376</v>
      </c>
      <c r="O25" s="122">
        <f ca="1">IF(N25=0,0,ROUND(SUM(INDIRECT(U25):INDIRECT(V25)),0))</f>
        <v>623694</v>
      </c>
      <c r="P25" s="123">
        <f t="shared" ca="1" si="5"/>
        <v>9</v>
      </c>
      <c r="Q25" s="1">
        <f t="shared" si="12"/>
        <v>114</v>
      </c>
      <c r="R25" s="1">
        <f t="shared" si="0"/>
        <v>125</v>
      </c>
      <c r="S25" s="1" t="str">
        <f t="shared" si="6"/>
        <v>f114</v>
      </c>
      <c r="T25" s="1" t="str">
        <f t="shared" si="6"/>
        <v>f125</v>
      </c>
      <c r="U25" s="1" t="str">
        <f t="shared" si="1"/>
        <v>G114</v>
      </c>
      <c r="V25" s="1" t="str">
        <f t="shared" si="1"/>
        <v>G125</v>
      </c>
    </row>
    <row r="26" spans="1:22">
      <c r="A26" s="335">
        <f t="shared" si="7"/>
        <v>9</v>
      </c>
      <c r="B26" s="340">
        <f t="shared" si="13"/>
        <v>46539</v>
      </c>
      <c r="C26" s="336">
        <f t="shared" ca="1" si="8"/>
        <v>17945426.914299998</v>
      </c>
      <c r="D26" s="335"/>
      <c r="E26" s="336">
        <f t="shared" si="9"/>
        <v>0</v>
      </c>
      <c r="F26" s="336">
        <f t="shared" ca="1" si="2"/>
        <v>-74772.611999999994</v>
      </c>
      <c r="G26" s="336">
        <f t="shared" ca="1" si="10"/>
        <v>74772.611999999994</v>
      </c>
      <c r="H26" s="336">
        <f t="shared" ca="1" si="11"/>
        <v>18020199.526299998</v>
      </c>
      <c r="I26" s="337">
        <f t="shared" ca="1" si="3"/>
        <v>-18020200</v>
      </c>
      <c r="J26" s="338">
        <v>10</v>
      </c>
      <c r="K26" s="122" cm="1">
        <f t="array" aca="1" ref="K26" ca="1">'Itemized Costs-HIDDEN'!M14-INDIRECT("'Sch3-Perf Period Cash Flow'!D"&amp;7&amp;"")</f>
        <v>1782085</v>
      </c>
      <c r="L26" s="469">
        <v>154103</v>
      </c>
      <c r="M26" s="122">
        <f t="shared" ca="1" si="4"/>
        <v>1627982</v>
      </c>
      <c r="N26" s="122">
        <f ca="1">ROUND(SUM(INDIRECT(S26):INDIRECT(T26)),0)</f>
        <v>1054540</v>
      </c>
      <c r="O26" s="122">
        <f ca="1">IF(N26=0,0,ROUND(SUM(INDIRECT(U26):INDIRECT(V26)),0))</f>
        <v>573442</v>
      </c>
      <c r="P26" s="123">
        <f t="shared" ca="1" si="5"/>
        <v>10</v>
      </c>
      <c r="Q26" s="1">
        <f t="shared" si="12"/>
        <v>126</v>
      </c>
      <c r="R26" s="1">
        <f t="shared" si="0"/>
        <v>137</v>
      </c>
      <c r="S26" s="1" t="str">
        <f t="shared" si="6"/>
        <v>f126</v>
      </c>
      <c r="T26" s="1" t="str">
        <f t="shared" si="6"/>
        <v>f137</v>
      </c>
      <c r="U26" s="1" t="str">
        <f t="shared" si="1"/>
        <v>G126</v>
      </c>
      <c r="V26" s="1" t="str">
        <f t="shared" si="1"/>
        <v>G137</v>
      </c>
    </row>
    <row r="27" spans="1:22">
      <c r="A27" s="335">
        <f t="shared" si="7"/>
        <v>10</v>
      </c>
      <c r="B27" s="340">
        <f t="shared" si="13"/>
        <v>46569</v>
      </c>
      <c r="C27" s="336">
        <f t="shared" ca="1" si="8"/>
        <v>18020199.526299998</v>
      </c>
      <c r="D27" s="335"/>
      <c r="E27" s="336">
        <f t="shared" si="9"/>
        <v>0</v>
      </c>
      <c r="F27" s="336">
        <f t="shared" ca="1" si="2"/>
        <v>-75084.164999999994</v>
      </c>
      <c r="G27" s="336">
        <f t="shared" ca="1" si="10"/>
        <v>75084.164999999994</v>
      </c>
      <c r="H27" s="336">
        <f t="shared" ca="1" si="11"/>
        <v>18095283.691300001</v>
      </c>
      <c r="I27" s="337">
        <f t="shared" ca="1" si="3"/>
        <v>-18095284</v>
      </c>
      <c r="J27" s="338">
        <v>11</v>
      </c>
      <c r="K27" s="122" cm="1">
        <f t="array" aca="1" ref="K27" ca="1">'Itemized Costs-HIDDEN'!M15-INDIRECT("'Sch3-Perf Period Cash Flow'!D"&amp;7&amp;"")</f>
        <v>1819401</v>
      </c>
      <c r="L27" s="469">
        <v>157647</v>
      </c>
      <c r="M27" s="122">
        <f t="shared" ca="1" si="4"/>
        <v>1661754</v>
      </c>
      <c r="N27" s="122">
        <f ca="1">ROUND(SUM(INDIRECT(S27):INDIRECT(T27)),0)</f>
        <v>1142833</v>
      </c>
      <c r="O27" s="122">
        <f ca="1">IF(N27=0,0,ROUND(SUM(INDIRECT(U27):INDIRECT(V27)),0))</f>
        <v>518921</v>
      </c>
      <c r="P27" s="123">
        <f t="shared" ca="1" si="5"/>
        <v>11</v>
      </c>
      <c r="Q27" s="1">
        <f t="shared" si="12"/>
        <v>138</v>
      </c>
      <c r="R27" s="1">
        <f t="shared" si="0"/>
        <v>149</v>
      </c>
      <c r="S27" s="1" t="str">
        <f t="shared" si="6"/>
        <v>f138</v>
      </c>
      <c r="T27" s="1" t="str">
        <f t="shared" si="6"/>
        <v>f149</v>
      </c>
      <c r="U27" s="1" t="str">
        <f t="shared" si="1"/>
        <v>G138</v>
      </c>
      <c r="V27" s="1" t="str">
        <f t="shared" si="1"/>
        <v>G149</v>
      </c>
    </row>
    <row r="28" spans="1:22">
      <c r="A28" s="335">
        <f t="shared" si="7"/>
        <v>11</v>
      </c>
      <c r="B28" s="340">
        <f t="shared" si="13"/>
        <v>46600</v>
      </c>
      <c r="C28" s="336">
        <f t="shared" ca="1" si="8"/>
        <v>18095283.691300001</v>
      </c>
      <c r="D28" s="335"/>
      <c r="E28" s="336">
        <f t="shared" si="9"/>
        <v>0</v>
      </c>
      <c r="F28" s="336">
        <f t="shared" ca="1" si="2"/>
        <v>-75397.014999999999</v>
      </c>
      <c r="G28" s="336">
        <f t="shared" ca="1" si="10"/>
        <v>75397.014999999999</v>
      </c>
      <c r="H28" s="336">
        <f ca="1">IF(E28="","",ROUND(H27-F28,4))</f>
        <v>18170680.706300002</v>
      </c>
      <c r="I28" s="337">
        <f t="shared" ca="1" si="3"/>
        <v>-18170681</v>
      </c>
      <c r="J28" s="338">
        <v>12</v>
      </c>
      <c r="K28" s="122" cm="1">
        <f t="array" aca="1" ref="K28" ca="1">'Itemized Costs-HIDDEN'!M16-INDIRECT("'Sch3-Perf Period Cash Flow'!D"&amp;7&amp;"")</f>
        <v>1857686</v>
      </c>
      <c r="L28" s="469">
        <v>161274</v>
      </c>
      <c r="M28" s="122">
        <f t="shared" ca="1" si="4"/>
        <v>1696412</v>
      </c>
      <c r="N28" s="122">
        <f ca="1">ROUND(SUM(INDIRECT(S28):INDIRECT(T28)),0)</f>
        <v>1236545</v>
      </c>
      <c r="O28" s="122">
        <f ca="1">IF(N28=0,0,ROUND(SUM(INDIRECT(U28):INDIRECT(V28)),0))</f>
        <v>459867</v>
      </c>
      <c r="P28" s="123">
        <f t="shared" ca="1" si="5"/>
        <v>12</v>
      </c>
      <c r="Q28" s="1">
        <f t="shared" si="12"/>
        <v>150</v>
      </c>
      <c r="R28" s="1">
        <f t="shared" si="0"/>
        <v>161</v>
      </c>
      <c r="S28" s="1" t="str">
        <f t="shared" si="6"/>
        <v>f150</v>
      </c>
      <c r="T28" s="1" t="str">
        <f t="shared" si="6"/>
        <v>f161</v>
      </c>
      <c r="U28" s="1" t="str">
        <f t="shared" si="1"/>
        <v>G150</v>
      </c>
      <c r="V28" s="1" t="str">
        <f t="shared" si="1"/>
        <v>G161</v>
      </c>
    </row>
    <row r="29" spans="1:22">
      <c r="A29" s="335">
        <f t="shared" si="7"/>
        <v>12</v>
      </c>
      <c r="B29" s="340">
        <f t="shared" si="13"/>
        <v>46631</v>
      </c>
      <c r="C29" s="336">
        <f t="shared" ca="1" si="8"/>
        <v>18170680.706300002</v>
      </c>
      <c r="D29" s="336">
        <f ca="1">IF(H29&lt;0,0,0.5*(K18-L18))</f>
        <v>693358.5</v>
      </c>
      <c r="E29" s="336">
        <f t="shared" ca="1" si="9"/>
        <v>679914</v>
      </c>
      <c r="F29" s="336">
        <f ca="1">IF(E29="","",E29-G29)</f>
        <v>607035.80499999993</v>
      </c>
      <c r="G29" s="336">
        <f ca="1">ROUND((C29-E29)*$D$5,3)</f>
        <v>72878.195000000007</v>
      </c>
      <c r="H29" s="336">
        <f ca="1">IF(E29="","",ROUND(H28-F29,4))</f>
        <v>17563644.901299998</v>
      </c>
      <c r="I29" s="337">
        <f t="shared" ca="1" si="3"/>
        <v>-16870286</v>
      </c>
      <c r="J29" s="338">
        <v>13</v>
      </c>
      <c r="K29" s="122" cm="1">
        <f t="array" aca="1" ref="K29" ca="1">'Itemized Costs-HIDDEN'!M17-INDIRECT("'Sch3-Perf Period Cash Flow'!D"&amp;7&amp;"")</f>
        <v>1896968</v>
      </c>
      <c r="L29" s="469">
        <v>164983</v>
      </c>
      <c r="M29" s="122">
        <f t="shared" ca="1" si="4"/>
        <v>1731985</v>
      </c>
      <c r="N29" s="122">
        <f ca="1">ROUND(SUM(INDIRECT(S29):INDIRECT(T29)),0)</f>
        <v>1335981</v>
      </c>
      <c r="O29" s="122">
        <f ca="1">IF(N29=0,0,ROUND(SUM(INDIRECT(U29):INDIRECT(V29)),0))</f>
        <v>396004</v>
      </c>
      <c r="P29" s="123">
        <f t="shared" ca="1" si="5"/>
        <v>13</v>
      </c>
      <c r="Q29" s="1">
        <f t="shared" si="12"/>
        <v>162</v>
      </c>
      <c r="R29" s="1">
        <f t="shared" si="0"/>
        <v>173</v>
      </c>
      <c r="S29" s="1" t="str">
        <f t="shared" si="6"/>
        <v>f162</v>
      </c>
      <c r="T29" s="1" t="str">
        <f t="shared" si="6"/>
        <v>f173</v>
      </c>
      <c r="U29" s="1" t="str">
        <f t="shared" si="1"/>
        <v>G162</v>
      </c>
      <c r="V29" s="1" t="str">
        <f t="shared" si="1"/>
        <v>G173</v>
      </c>
    </row>
    <row r="30" spans="1:22">
      <c r="A30" s="335">
        <f t="shared" si="7"/>
        <v>13</v>
      </c>
      <c r="B30" s="340">
        <f t="shared" si="13"/>
        <v>46661</v>
      </c>
      <c r="C30" s="336">
        <f t="shared" ca="1" si="8"/>
        <v>17563644.901299998</v>
      </c>
      <c r="D30" s="335"/>
      <c r="E30" s="336">
        <f t="shared" ref="E30:E41" si="14">IF($D$10=1,IF(OR(MONTH(B30)=MONTH(EDATE($D$7,0)),MONTH(B30)=MONTH(EDATE($D$7,6))),(MIN($D$29,H29)),0),IF($D$10=0,IF(OR(MONTH(B30)=MONTH(EDATE($D$7,5)),MONTH(B30)=MONTH(EDATE($D$7,11))),(MIN($D$29,H29)),0)))</f>
        <v>0</v>
      </c>
      <c r="F30" s="336">
        <f t="shared" ca="1" si="2"/>
        <v>-73181.854000000007</v>
      </c>
      <c r="G30" s="336">
        <f t="shared" ca="1" si="10"/>
        <v>73181.854000000007</v>
      </c>
      <c r="H30" s="336">
        <f t="shared" ca="1" si="11"/>
        <v>17636826.7553</v>
      </c>
      <c r="I30" s="337">
        <f t="shared" ca="1" si="3"/>
        <v>-17636827</v>
      </c>
      <c r="J30" s="338">
        <v>14</v>
      </c>
      <c r="K30" s="122" cm="1">
        <f t="array" aca="1" ref="K30" ca="1">'Itemized Costs-HIDDEN'!M18-INDIRECT("'Sch3-Perf Period Cash Flow'!D"&amp;7&amp;"")</f>
        <v>1937280</v>
      </c>
      <c r="L30" s="469">
        <v>168778</v>
      </c>
      <c r="M30" s="122">
        <f t="shared" ca="1" si="4"/>
        <v>1768502</v>
      </c>
      <c r="N30" s="122">
        <f ca="1">ROUND(SUM(INDIRECT(S30):INDIRECT(T30)),0)</f>
        <v>1441465</v>
      </c>
      <c r="O30" s="122">
        <f ca="1">IF(N30=0,0,ROUND(SUM(INDIRECT(U30):INDIRECT(V30)),0))</f>
        <v>327037</v>
      </c>
      <c r="P30" s="123">
        <f t="shared" ca="1" si="5"/>
        <v>14</v>
      </c>
      <c r="Q30" s="1">
        <f t="shared" si="12"/>
        <v>174</v>
      </c>
      <c r="R30" s="1">
        <f t="shared" si="0"/>
        <v>185</v>
      </c>
      <c r="S30" s="1" t="str">
        <f t="shared" si="6"/>
        <v>f174</v>
      </c>
      <c r="T30" s="1" t="str">
        <f t="shared" si="6"/>
        <v>f185</v>
      </c>
      <c r="U30" s="1" t="str">
        <f t="shared" si="1"/>
        <v>G174</v>
      </c>
      <c r="V30" s="1" t="str">
        <f t="shared" si="1"/>
        <v>G185</v>
      </c>
    </row>
    <row r="31" spans="1:22">
      <c r="A31" s="335">
        <f t="shared" si="7"/>
        <v>14</v>
      </c>
      <c r="B31" s="340">
        <f t="shared" si="13"/>
        <v>46692</v>
      </c>
      <c r="C31" s="336">
        <f t="shared" ca="1" si="8"/>
        <v>17636826.7553</v>
      </c>
      <c r="D31" s="335"/>
      <c r="E31" s="336">
        <f t="shared" si="14"/>
        <v>0</v>
      </c>
      <c r="F31" s="336">
        <f t="shared" ca="1" si="2"/>
        <v>-73486.778000000006</v>
      </c>
      <c r="G31" s="336">
        <f t="shared" ca="1" si="10"/>
        <v>73486.778000000006</v>
      </c>
      <c r="H31" s="336">
        <f t="shared" ca="1" si="11"/>
        <v>17710313.533300001</v>
      </c>
      <c r="I31" s="337">
        <f t="shared" ca="1" si="3"/>
        <v>-17710314</v>
      </c>
      <c r="J31" s="338">
        <v>15</v>
      </c>
      <c r="K31" s="122" cm="1">
        <f t="array" aca="1" ref="K31" ca="1">'Itemized Costs-HIDDEN'!M19-INDIRECT("'Sch3-Perf Period Cash Flow'!D"&amp;7&amp;"")</f>
        <v>1978652</v>
      </c>
      <c r="L31" s="469">
        <v>172659</v>
      </c>
      <c r="M31" s="122">
        <f t="shared" ca="1" si="4"/>
        <v>1805993</v>
      </c>
      <c r="N31" s="122">
        <f ca="1">ROUND(SUM(INDIRECT(S31):INDIRECT(T31)),0)</f>
        <v>1553336</v>
      </c>
      <c r="O31" s="122">
        <f ca="1">IF(N31=0,0,ROUND(SUM(INDIRECT(U31):INDIRECT(V31)),0))</f>
        <v>252657</v>
      </c>
      <c r="P31" s="123">
        <f t="shared" ca="1" si="5"/>
        <v>15</v>
      </c>
      <c r="Q31" s="1">
        <f t="shared" si="12"/>
        <v>186</v>
      </c>
      <c r="R31" s="1">
        <f t="shared" si="0"/>
        <v>197</v>
      </c>
      <c r="S31" s="1" t="str">
        <f t="shared" si="6"/>
        <v>f186</v>
      </c>
      <c r="T31" s="1" t="str">
        <f t="shared" si="6"/>
        <v>f197</v>
      </c>
      <c r="U31" s="1" t="str">
        <f t="shared" si="1"/>
        <v>G186</v>
      </c>
      <c r="V31" s="1" t="str">
        <f t="shared" si="1"/>
        <v>G197</v>
      </c>
    </row>
    <row r="32" spans="1:22">
      <c r="A32" s="335">
        <f t="shared" si="7"/>
        <v>15</v>
      </c>
      <c r="B32" s="340">
        <f t="shared" si="13"/>
        <v>46722</v>
      </c>
      <c r="C32" s="336">
        <f t="shared" ca="1" si="8"/>
        <v>17710313.533300001</v>
      </c>
      <c r="D32" s="335"/>
      <c r="E32" s="336">
        <f t="shared" si="14"/>
        <v>0</v>
      </c>
      <c r="F32" s="336">
        <f t="shared" ca="1" si="2"/>
        <v>-73792.972999999998</v>
      </c>
      <c r="G32" s="336">
        <f t="shared" ca="1" si="10"/>
        <v>73792.972999999998</v>
      </c>
      <c r="H32" s="336">
        <f t="shared" ca="1" si="11"/>
        <v>17784106.506299999</v>
      </c>
      <c r="I32" s="337">
        <f t="shared" ca="1" si="3"/>
        <v>-17784107</v>
      </c>
      <c r="J32" s="338">
        <v>16</v>
      </c>
      <c r="K32" s="122" cm="1">
        <f t="array" aca="1" ref="K32" ca="1">'Itemized Costs-HIDDEN'!M20-INDIRECT("'Sch3-Perf Period Cash Flow'!D"&amp;7&amp;"")</f>
        <v>2021116</v>
      </c>
      <c r="L32" s="469">
        <v>176631</v>
      </c>
      <c r="M32" s="122">
        <f t="shared" ca="1" si="4"/>
        <v>1844485</v>
      </c>
      <c r="N32" s="122">
        <f ca="1">ROUND(SUM(INDIRECT(S32):INDIRECT(T32)),0)</f>
        <v>1671948</v>
      </c>
      <c r="O32" s="122">
        <f ca="1">IF(N32=0,0,ROUND(SUM(INDIRECT(U32):INDIRECT(V32)),0))</f>
        <v>172537</v>
      </c>
      <c r="P32" s="123">
        <f t="shared" ca="1" si="5"/>
        <v>16</v>
      </c>
      <c r="Q32" s="1">
        <f t="shared" si="12"/>
        <v>198</v>
      </c>
      <c r="R32" s="1">
        <f t="shared" si="0"/>
        <v>209</v>
      </c>
      <c r="S32" s="1" t="str">
        <f t="shared" si="6"/>
        <v>f198</v>
      </c>
      <c r="T32" s="1" t="str">
        <f t="shared" si="6"/>
        <v>f209</v>
      </c>
      <c r="U32" s="1" t="str">
        <f t="shared" si="1"/>
        <v>G198</v>
      </c>
      <c r="V32" s="1" t="str">
        <f t="shared" si="1"/>
        <v>G209</v>
      </c>
    </row>
    <row r="33" spans="1:22">
      <c r="A33" s="335">
        <f t="shared" si="7"/>
        <v>16</v>
      </c>
      <c r="B33" s="340">
        <f t="shared" si="13"/>
        <v>46753</v>
      </c>
      <c r="C33" s="336">
        <f t="shared" ca="1" si="8"/>
        <v>17784106.506299999</v>
      </c>
      <c r="D33" s="335"/>
      <c r="E33" s="336">
        <f t="shared" si="14"/>
        <v>0</v>
      </c>
      <c r="F33" s="336">
        <f t="shared" ca="1" si="2"/>
        <v>-74100.444000000003</v>
      </c>
      <c r="G33" s="336">
        <f t="shared" ca="1" si="10"/>
        <v>74100.444000000003</v>
      </c>
      <c r="H33" s="336">
        <f t="shared" ca="1" si="11"/>
        <v>17858206.950300001</v>
      </c>
      <c r="I33" s="337">
        <f t="shared" ca="1" si="3"/>
        <v>-17858207</v>
      </c>
      <c r="J33" s="338">
        <v>17</v>
      </c>
      <c r="K33" s="122" cm="1">
        <f t="array" aca="1" ref="K33" ca="1">'Itemized Costs-HIDDEN'!M21-INDIRECT("'Sch3-Perf Period Cash Flow'!D"&amp;7&amp;"")</f>
        <v>2064707</v>
      </c>
      <c r="L33" s="469">
        <v>180694</v>
      </c>
      <c r="M33" s="122">
        <f t="shared" ca="1" si="4"/>
        <v>1884013</v>
      </c>
      <c r="N33" s="122">
        <f ca="1">ROUND(SUM(INDIRECT(S33):INDIRECT(T33)),0)</f>
        <v>1797682</v>
      </c>
      <c r="O33" s="122">
        <f ca="1">IF(N33=0,0,ROUND(SUM(INDIRECT(U33):INDIRECT(V33)),0))</f>
        <v>86331</v>
      </c>
      <c r="P33" s="123">
        <f t="shared" ca="1" si="5"/>
        <v>17</v>
      </c>
      <c r="Q33" s="1">
        <f t="shared" si="12"/>
        <v>210</v>
      </c>
      <c r="R33" s="1">
        <f t="shared" si="0"/>
        <v>221</v>
      </c>
      <c r="S33" s="1" t="str">
        <f t="shared" si="6"/>
        <v>f210</v>
      </c>
      <c r="T33" s="1" t="str">
        <f t="shared" si="6"/>
        <v>f221</v>
      </c>
      <c r="U33" s="1" t="str">
        <f t="shared" ref="U33:V40" si="15">CONCATENATE("G",Q33)</f>
        <v>G210</v>
      </c>
      <c r="V33" s="1" t="str">
        <f t="shared" si="15"/>
        <v>G221</v>
      </c>
    </row>
    <row r="34" spans="1:22">
      <c r="A34" s="335">
        <f t="shared" si="7"/>
        <v>17</v>
      </c>
      <c r="B34" s="340">
        <f t="shared" si="13"/>
        <v>46784</v>
      </c>
      <c r="C34" s="336">
        <f t="shared" ca="1" si="8"/>
        <v>17858206.950300001</v>
      </c>
      <c r="D34" s="335"/>
      <c r="E34" s="336">
        <f t="shared" si="14"/>
        <v>0</v>
      </c>
      <c r="F34" s="336">
        <f t="shared" ca="1" si="2"/>
        <v>-74409.195999999996</v>
      </c>
      <c r="G34" s="336">
        <f t="shared" ca="1" si="10"/>
        <v>74409.195999999996</v>
      </c>
      <c r="H34" s="336">
        <f t="shared" ca="1" si="11"/>
        <v>17932616.146299999</v>
      </c>
      <c r="I34" s="337">
        <f t="shared" ca="1" si="3"/>
        <v>-17932616</v>
      </c>
      <c r="J34" s="338">
        <v>18</v>
      </c>
      <c r="K34" s="122" cm="1">
        <f t="array" aca="1" ref="K34" ca="1">'Itemized Costs-HIDDEN'!M22-INDIRECT("'Sch3-Perf Period Cash Flow'!D"&amp;7&amp;"")</f>
        <v>2109459</v>
      </c>
      <c r="L34" s="469">
        <v>184850</v>
      </c>
      <c r="M34" s="122">
        <f t="shared" ca="1" si="4"/>
        <v>520945</v>
      </c>
      <c r="N34" s="122">
        <f ca="1">ROUND(SUM(INDIRECT(S34):INDIRECT(T34)),0)</f>
        <v>510226</v>
      </c>
      <c r="O34" s="122">
        <f ca="1">IF(N34=0,0,ROUND(SUM(INDIRECT(U34):INDIRECT(V34)),0))</f>
        <v>10719</v>
      </c>
      <c r="P34" s="123">
        <f t="shared" ca="1" si="5"/>
        <v>18</v>
      </c>
      <c r="Q34" s="1">
        <f t="shared" si="12"/>
        <v>222</v>
      </c>
      <c r="R34" s="1">
        <f t="shared" si="0"/>
        <v>233</v>
      </c>
      <c r="S34" s="1" t="str">
        <f t="shared" si="6"/>
        <v>f222</v>
      </c>
      <c r="T34" s="1" t="str">
        <f t="shared" si="6"/>
        <v>f233</v>
      </c>
      <c r="U34" s="1" t="str">
        <f t="shared" si="15"/>
        <v>G222</v>
      </c>
      <c r="V34" s="1" t="str">
        <f t="shared" si="15"/>
        <v>G233</v>
      </c>
    </row>
    <row r="35" spans="1:22">
      <c r="A35" s="335">
        <f t="shared" si="7"/>
        <v>18</v>
      </c>
      <c r="B35" s="340">
        <f t="shared" si="13"/>
        <v>46813</v>
      </c>
      <c r="C35" s="336">
        <f t="shared" ca="1" si="8"/>
        <v>17932616.146299999</v>
      </c>
      <c r="D35" s="335"/>
      <c r="E35" s="336">
        <f t="shared" ca="1" si="14"/>
        <v>693358.5</v>
      </c>
      <c r="F35" s="336">
        <f t="shared" ca="1" si="2"/>
        <v>621528.26</v>
      </c>
      <c r="G35" s="336">
        <f t="shared" ca="1" si="10"/>
        <v>71830.240000000005</v>
      </c>
      <c r="H35" s="336">
        <f t="shared" ca="1" si="11"/>
        <v>17311087.886300001</v>
      </c>
      <c r="I35" s="337">
        <f t="shared" ca="1" si="3"/>
        <v>-17311088</v>
      </c>
      <c r="J35" s="338">
        <v>19</v>
      </c>
      <c r="K35" s="122" cm="1">
        <f t="array" aca="1" ref="K35" ca="1">'Itemized Costs-HIDDEN'!M23-INDIRECT("'Sch3-Perf Period Cash Flow'!D"&amp;7&amp;"")</f>
        <v>2155408</v>
      </c>
      <c r="L35" s="469">
        <v>189101</v>
      </c>
      <c r="M35" s="122">
        <f t="shared" ca="1" si="4"/>
        <v>0</v>
      </c>
      <c r="N35" s="122">
        <f ca="1">ROUND(SUM(INDIRECT(S35):INDIRECT(T35)),0)</f>
        <v>0</v>
      </c>
      <c r="O35" s="122">
        <f ca="1">IF(N35=0,0,ROUND(SUM(INDIRECT(U35):INDIRECT(V35)),0))</f>
        <v>0</v>
      </c>
      <c r="P35" s="123" t="str">
        <f t="shared" ca="1" si="5"/>
        <v/>
      </c>
      <c r="Q35" s="1">
        <f t="shared" si="12"/>
        <v>234</v>
      </c>
      <c r="R35" s="1">
        <f>Q35+11</f>
        <v>245</v>
      </c>
      <c r="S35" s="1" t="str">
        <f t="shared" si="6"/>
        <v>f234</v>
      </c>
      <c r="T35" s="1" t="str">
        <f t="shared" si="6"/>
        <v>f245</v>
      </c>
      <c r="U35" s="1" t="str">
        <f t="shared" si="15"/>
        <v>G234</v>
      </c>
      <c r="V35" s="1" t="str">
        <f t="shared" si="15"/>
        <v>G245</v>
      </c>
    </row>
    <row r="36" spans="1:22">
      <c r="A36" s="335">
        <f t="shared" si="7"/>
        <v>19</v>
      </c>
      <c r="B36" s="340">
        <f t="shared" si="13"/>
        <v>46844</v>
      </c>
      <c r="C36" s="336">
        <f t="shared" ca="1" si="8"/>
        <v>17311087.886300001</v>
      </c>
      <c r="D36" s="335"/>
      <c r="E36" s="336">
        <f t="shared" si="14"/>
        <v>0</v>
      </c>
      <c r="F36" s="336">
        <f t="shared" ca="1" si="2"/>
        <v>-72129.532999999996</v>
      </c>
      <c r="G36" s="336">
        <f t="shared" ca="1" si="10"/>
        <v>72129.532999999996</v>
      </c>
      <c r="H36" s="336">
        <f t="shared" ca="1" si="11"/>
        <v>17383217.419300001</v>
      </c>
      <c r="I36" s="337">
        <f t="shared" ca="1" si="3"/>
        <v>-17383217</v>
      </c>
      <c r="J36" s="338">
        <v>20</v>
      </c>
      <c r="K36" s="122" cm="1">
        <f t="array" aca="1" ref="K36" ca="1">'Itemized Costs-HIDDEN'!M24-INDIRECT("'Sch3-Perf Period Cash Flow'!D"&amp;7&amp;"")</f>
        <v>2202592</v>
      </c>
      <c r="L36" s="469">
        <v>193450</v>
      </c>
      <c r="M36" s="122">
        <f t="shared" ca="1" si="4"/>
        <v>0</v>
      </c>
      <c r="N36" s="122">
        <f ca="1">ROUND(SUM(INDIRECT(S36):INDIRECT(T36)),0)</f>
        <v>0</v>
      </c>
      <c r="O36" s="122">
        <f ca="1">IF(N36=0,0,ROUND(SUM(INDIRECT(U36):INDIRECT(V36)),0))</f>
        <v>0</v>
      </c>
      <c r="P36" s="123" t="str">
        <f t="shared" ca="1" si="5"/>
        <v/>
      </c>
      <c r="Q36" s="1">
        <f t="shared" si="12"/>
        <v>246</v>
      </c>
      <c r="R36" s="1">
        <f t="shared" ref="R36:R56" si="16">Q36+11</f>
        <v>257</v>
      </c>
      <c r="S36" s="1" t="str">
        <f t="shared" si="6"/>
        <v>f246</v>
      </c>
      <c r="T36" s="1" t="str">
        <f t="shared" si="6"/>
        <v>f257</v>
      </c>
      <c r="U36" s="1" t="str">
        <f t="shared" si="15"/>
        <v>G246</v>
      </c>
      <c r="V36" s="1" t="str">
        <f t="shared" si="15"/>
        <v>G257</v>
      </c>
    </row>
    <row r="37" spans="1:22">
      <c r="A37" s="335">
        <f t="shared" si="7"/>
        <v>20</v>
      </c>
      <c r="B37" s="340">
        <f t="shared" si="13"/>
        <v>46874</v>
      </c>
      <c r="C37" s="336">
        <f t="shared" ca="1" si="8"/>
        <v>17383217.419300001</v>
      </c>
      <c r="D37" s="335"/>
      <c r="E37" s="336">
        <f t="shared" si="14"/>
        <v>0</v>
      </c>
      <c r="F37" s="336">
        <f t="shared" ca="1" si="2"/>
        <v>-72430.073000000004</v>
      </c>
      <c r="G37" s="336">
        <f t="shared" ca="1" si="10"/>
        <v>72430.073000000004</v>
      </c>
      <c r="H37" s="336">
        <f t="shared" ca="1" si="11"/>
        <v>17455647.4923</v>
      </c>
      <c r="I37" s="337">
        <f t="shared" ca="1" si="3"/>
        <v>-17455647</v>
      </c>
      <c r="J37" s="338">
        <v>21</v>
      </c>
      <c r="K37" s="122" cm="1">
        <f t="array" aca="1" ref="K37" ca="1">'Itemized Costs-HIDDEN'!M25-INDIRECT("'Sch3-Perf Period Cash Flow'!D"&amp;7&amp;"")</f>
        <v>2251048</v>
      </c>
      <c r="L37" s="469">
        <v>197900</v>
      </c>
      <c r="M37" s="122">
        <f t="shared" ca="1" si="4"/>
        <v>0</v>
      </c>
      <c r="N37" s="122">
        <f ca="1">ROUND(SUM(INDIRECT(S37):INDIRECT(T37)),0)</f>
        <v>0</v>
      </c>
      <c r="O37" s="122">
        <f ca="1">IF(N37=0,0,ROUND(SUM(INDIRECT(U37):INDIRECT(V37)),0))</f>
        <v>0</v>
      </c>
      <c r="P37" s="123" t="str">
        <f t="shared" ca="1" si="5"/>
        <v/>
      </c>
      <c r="Q37" s="1">
        <f t="shared" si="12"/>
        <v>258</v>
      </c>
      <c r="R37" s="1">
        <f t="shared" si="16"/>
        <v>269</v>
      </c>
      <c r="S37" s="1" t="str">
        <f t="shared" si="6"/>
        <v>f258</v>
      </c>
      <c r="T37" s="1" t="str">
        <f t="shared" si="6"/>
        <v>f269</v>
      </c>
      <c r="U37" s="1" t="str">
        <f t="shared" si="15"/>
        <v>G258</v>
      </c>
      <c r="V37" s="1" t="str">
        <f t="shared" si="15"/>
        <v>G269</v>
      </c>
    </row>
    <row r="38" spans="1:22">
      <c r="A38" s="335">
        <f t="shared" si="7"/>
        <v>21</v>
      </c>
      <c r="B38" s="340">
        <f t="shared" si="13"/>
        <v>46905</v>
      </c>
      <c r="C38" s="336">
        <f t="shared" ca="1" si="8"/>
        <v>17455647.4923</v>
      </c>
      <c r="D38" s="335"/>
      <c r="E38" s="336">
        <f t="shared" si="14"/>
        <v>0</v>
      </c>
      <c r="F38" s="336">
        <f t="shared" ca="1" si="2"/>
        <v>-72731.865000000005</v>
      </c>
      <c r="G38" s="336">
        <f t="shared" ca="1" si="10"/>
        <v>72731.865000000005</v>
      </c>
      <c r="H38" s="336">
        <f t="shared" ca="1" si="11"/>
        <v>17528379.357299998</v>
      </c>
      <c r="I38" s="337">
        <f t="shared" ca="1" si="3"/>
        <v>-17528379</v>
      </c>
      <c r="J38" s="338">
        <v>22</v>
      </c>
      <c r="K38" s="122" cm="1">
        <f t="array" aca="1" ref="K38" ca="1">'Itemized Costs-HIDDEN'!M26-INDIRECT("'Sch3-Perf Period Cash Flow'!D"&amp;7&amp;"")</f>
        <v>2300817</v>
      </c>
      <c r="L38" s="469">
        <v>202451</v>
      </c>
      <c r="M38" s="122">
        <f t="shared" ca="1" si="4"/>
        <v>0</v>
      </c>
      <c r="N38" s="122">
        <f ca="1">ROUND(SUM(INDIRECT(S38):INDIRECT(T38)),0)</f>
        <v>0</v>
      </c>
      <c r="O38" s="122">
        <f ca="1">IF(N38=0,0,ROUND(SUM(INDIRECT(U38):INDIRECT(V38)),0))</f>
        <v>0</v>
      </c>
      <c r="P38" s="123" t="str">
        <f t="shared" ca="1" si="5"/>
        <v/>
      </c>
      <c r="Q38" s="1">
        <f t="shared" si="12"/>
        <v>270</v>
      </c>
      <c r="R38" s="1">
        <f t="shared" si="16"/>
        <v>281</v>
      </c>
      <c r="S38" s="1" t="str">
        <f t="shared" si="6"/>
        <v>f270</v>
      </c>
      <c r="T38" s="1" t="str">
        <f t="shared" si="6"/>
        <v>f281</v>
      </c>
      <c r="U38" s="1" t="str">
        <f t="shared" si="15"/>
        <v>G270</v>
      </c>
      <c r="V38" s="1" t="str">
        <f t="shared" si="15"/>
        <v>G281</v>
      </c>
    </row>
    <row r="39" spans="1:22">
      <c r="A39" s="335">
        <f t="shared" si="7"/>
        <v>22</v>
      </c>
      <c r="B39" s="340">
        <f t="shared" si="13"/>
        <v>46935</v>
      </c>
      <c r="C39" s="336">
        <f t="shared" ca="1" si="8"/>
        <v>17528379.357299998</v>
      </c>
      <c r="D39" s="335"/>
      <c r="E39" s="336">
        <f t="shared" si="14"/>
        <v>0</v>
      </c>
      <c r="F39" s="336">
        <f t="shared" ca="1" si="2"/>
        <v>-73034.914000000004</v>
      </c>
      <c r="G39" s="336">
        <f t="shared" ca="1" si="10"/>
        <v>73034.914000000004</v>
      </c>
      <c r="H39" s="336">
        <f t="shared" ca="1" si="11"/>
        <v>17601414.271299999</v>
      </c>
      <c r="I39" s="337">
        <f t="shared" ca="1" si="3"/>
        <v>-17601414</v>
      </c>
      <c r="J39" s="338">
        <v>23</v>
      </c>
      <c r="K39" s="122" cm="1">
        <f t="array" aca="1" ref="K39" ca="1">'Itemized Costs-HIDDEN'!M27-INDIRECT("'Sch3-Perf Period Cash Flow'!D"&amp;7&amp;"")</f>
        <v>2351940</v>
      </c>
      <c r="L39" s="469">
        <v>207108</v>
      </c>
      <c r="M39" s="122">
        <f t="shared" ca="1" si="4"/>
        <v>0</v>
      </c>
      <c r="N39" s="122">
        <f ca="1">ROUND(SUM(INDIRECT(S39):INDIRECT(T39)),0)</f>
        <v>0</v>
      </c>
      <c r="O39" s="122">
        <f ca="1">IF(N39=0,0,ROUND(SUM(INDIRECT(U39):INDIRECT(V39)),0))</f>
        <v>0</v>
      </c>
      <c r="P39" s="123" t="str">
        <f t="shared" ca="1" si="5"/>
        <v/>
      </c>
      <c r="Q39" s="1">
        <f t="shared" si="12"/>
        <v>282</v>
      </c>
      <c r="R39" s="1">
        <f t="shared" si="16"/>
        <v>293</v>
      </c>
      <c r="S39" s="1" t="str">
        <f t="shared" si="6"/>
        <v>f282</v>
      </c>
      <c r="T39" s="1" t="str">
        <f t="shared" si="6"/>
        <v>f293</v>
      </c>
      <c r="U39" s="1" t="str">
        <f t="shared" si="15"/>
        <v>G282</v>
      </c>
      <c r="V39" s="1" t="str">
        <f t="shared" si="15"/>
        <v>G293</v>
      </c>
    </row>
    <row r="40" spans="1:22">
      <c r="A40" s="335">
        <f t="shared" si="7"/>
        <v>23</v>
      </c>
      <c r="B40" s="340">
        <f t="shared" si="13"/>
        <v>46966</v>
      </c>
      <c r="C40" s="336">
        <f t="shared" ca="1" si="8"/>
        <v>17601414.271299999</v>
      </c>
      <c r="D40" s="335"/>
      <c r="E40" s="336">
        <f t="shared" si="14"/>
        <v>0</v>
      </c>
      <c r="F40" s="336">
        <f t="shared" ca="1" si="2"/>
        <v>-73339.225999999995</v>
      </c>
      <c r="G40" s="336">
        <f t="shared" ca="1" si="10"/>
        <v>73339.225999999995</v>
      </c>
      <c r="H40" s="336">
        <f t="shared" ca="1" si="11"/>
        <v>17674753.497299999</v>
      </c>
      <c r="I40" s="337">
        <f t="shared" ca="1" si="3"/>
        <v>-17674753</v>
      </c>
      <c r="J40" s="338">
        <v>24</v>
      </c>
      <c r="K40" s="122" cm="1">
        <f t="array" aca="1" ref="K40" ca="1">'Itemized Costs-HIDDEN'!M28-INDIRECT("'Sch3-Perf Period Cash Flow'!D"&amp;7&amp;"")</f>
        <v>2404459</v>
      </c>
      <c r="L40" s="469">
        <v>211871</v>
      </c>
      <c r="M40" s="122">
        <f t="shared" ca="1" si="4"/>
        <v>0</v>
      </c>
      <c r="N40" s="122">
        <f ca="1">ROUND(SUM(INDIRECT(S40):INDIRECT(T40)),0)</f>
        <v>0</v>
      </c>
      <c r="O40" s="122">
        <f ca="1">IF(N40=0,0,ROUND(SUM(INDIRECT(U40):INDIRECT(V40)),0))</f>
        <v>0</v>
      </c>
      <c r="P40" s="123" t="str">
        <f t="shared" ca="1" si="5"/>
        <v/>
      </c>
      <c r="Q40" s="1">
        <f t="shared" si="12"/>
        <v>294</v>
      </c>
      <c r="R40" s="1">
        <f t="shared" si="16"/>
        <v>305</v>
      </c>
      <c r="S40" s="1" t="str">
        <f t="shared" si="6"/>
        <v>f294</v>
      </c>
      <c r="T40" s="1" t="str">
        <f t="shared" si="6"/>
        <v>f305</v>
      </c>
      <c r="U40" s="1" t="str">
        <f t="shared" si="15"/>
        <v>G294</v>
      </c>
      <c r="V40" s="1" t="str">
        <f t="shared" si="15"/>
        <v>G305</v>
      </c>
    </row>
    <row r="41" spans="1:22">
      <c r="A41" s="335">
        <f t="shared" si="7"/>
        <v>24</v>
      </c>
      <c r="B41" s="340">
        <f t="shared" si="13"/>
        <v>46997</v>
      </c>
      <c r="C41" s="336">
        <f t="shared" ca="1" si="8"/>
        <v>17674753.497299999</v>
      </c>
      <c r="D41" s="336">
        <f ca="1">IF(H41&lt;0,0,0.5*(K19-L19))</f>
        <v>707141.5</v>
      </c>
      <c r="E41" s="336">
        <f t="shared" ca="1" si="14"/>
        <v>693358.5</v>
      </c>
      <c r="F41" s="336">
        <f t="shared" ca="1" si="2"/>
        <v>622602.68799999997</v>
      </c>
      <c r="G41" s="336">
        <f t="shared" ca="1" si="10"/>
        <v>70755.812000000005</v>
      </c>
      <c r="H41" s="336">
        <f t="shared" ca="1" si="11"/>
        <v>17052150.809300002</v>
      </c>
      <c r="I41" s="337">
        <f t="shared" ca="1" si="3"/>
        <v>-16345009</v>
      </c>
      <c r="J41" s="338">
        <v>25</v>
      </c>
      <c r="K41" s="122" cm="1">
        <f t="array" aca="1" ref="K41" ca="1">'Itemized Costs-HIDDEN'!M29-INDIRECT("'Sch3-Perf Period Cash Flow'!D"&amp;7&amp;"")</f>
        <v>2458418</v>
      </c>
      <c r="L41" s="469">
        <v>216744</v>
      </c>
      <c r="M41" s="122">
        <f ca="1">N41+O41</f>
        <v>0</v>
      </c>
      <c r="N41" s="122">
        <f ca="1">ROUND(SUM(INDIRECT(S41):INDIRECT(T41)),0)</f>
        <v>0</v>
      </c>
      <c r="O41" s="122">
        <f ca="1">IF(N41=0,0,ROUND(SUM(INDIRECT(U41):INDIRECT(V41)),0))</f>
        <v>0</v>
      </c>
      <c r="P41" s="123" t="str">
        <f t="shared" ca="1" si="5"/>
        <v/>
      </c>
      <c r="Q41" s="1">
        <f t="shared" si="12"/>
        <v>306</v>
      </c>
      <c r="R41" s="1">
        <f t="shared" si="16"/>
        <v>317</v>
      </c>
      <c r="S41" s="1" t="str">
        <f t="shared" si="6"/>
        <v>f306</v>
      </c>
      <c r="T41" s="1" t="str">
        <f t="shared" si="6"/>
        <v>f317</v>
      </c>
      <c r="U41" s="1" t="str">
        <f>CONCATENATE("G",Q41)</f>
        <v>G306</v>
      </c>
      <c r="V41" s="1" t="str">
        <f>CONCATENATE("G",R41)</f>
        <v>G317</v>
      </c>
    </row>
    <row r="42" spans="1:22">
      <c r="A42" s="335">
        <f t="shared" si="7"/>
        <v>25</v>
      </c>
      <c r="B42" s="340">
        <f t="shared" si="13"/>
        <v>47027</v>
      </c>
      <c r="C42" s="336">
        <f t="shared" ca="1" si="8"/>
        <v>17052150.809300002</v>
      </c>
      <c r="D42" s="336"/>
      <c r="E42" s="336">
        <f t="shared" ref="E42:E53" si="17">IF($D$10=1,IF(OR(MONTH(B42)=MONTH(EDATE($D$7,0)),MONTH(B42)=MONTH(EDATE($D$7,6))),(MIN($D$41,H41)),0),IF($D$10=0,IF(OR(MONTH(B42)=MONTH(EDATE($D$7,5)),MONTH(B42)=MONTH(EDATE($D$7,11))),(MIN($D$41,H41)),0)))</f>
        <v>0</v>
      </c>
      <c r="F42" s="336">
        <f t="shared" ca="1" si="2"/>
        <v>-71050.627999999997</v>
      </c>
      <c r="G42" s="336">
        <f t="shared" ca="1" si="10"/>
        <v>71050.627999999997</v>
      </c>
      <c r="H42" s="336">
        <f t="shared" ca="1" si="11"/>
        <v>17123201.4373</v>
      </c>
      <c r="I42" s="337">
        <f t="shared" ca="1" si="3"/>
        <v>-17123201</v>
      </c>
      <c r="J42" s="338">
        <v>26</v>
      </c>
      <c r="K42" s="122" cm="1">
        <f t="array" aca="1" ref="K42" ca="1">'Itemized Costs-HIDDEN'!M30-INDIRECT("'Sch3-Perf Period Cash Flow'!D"&amp;7&amp;"")</f>
        <v>2458418</v>
      </c>
      <c r="L42" s="122">
        <v>0</v>
      </c>
      <c r="M42" s="122">
        <f t="shared" ca="1" si="4"/>
        <v>0</v>
      </c>
      <c r="N42" s="122">
        <f ca="1">ROUND(SUM(INDIRECT(S42):INDIRECT(T42)),0)</f>
        <v>0</v>
      </c>
      <c r="O42" s="122">
        <f ca="1">IF(N42=0,0,ROUND(SUM(INDIRECT(U42):INDIRECT(V42)),0))</f>
        <v>0</v>
      </c>
      <c r="P42" s="123" t="str">
        <f t="shared" ca="1" si="5"/>
        <v/>
      </c>
      <c r="Q42" s="1">
        <f t="shared" si="12"/>
        <v>318</v>
      </c>
      <c r="R42" s="1">
        <f t="shared" si="16"/>
        <v>329</v>
      </c>
      <c r="S42" s="1" t="str">
        <f t="shared" si="6"/>
        <v>f318</v>
      </c>
      <c r="T42" s="1" t="str">
        <f t="shared" si="6"/>
        <v>f329</v>
      </c>
      <c r="U42" s="1" t="str">
        <f>CONCATENATE("G",Q42)</f>
        <v>G318</v>
      </c>
      <c r="V42" s="1" t="str">
        <f>CONCATENATE("G",R42)</f>
        <v>G329</v>
      </c>
    </row>
    <row r="43" spans="1:22">
      <c r="A43" s="335">
        <f t="shared" si="7"/>
        <v>26</v>
      </c>
      <c r="B43" s="340">
        <f t="shared" si="13"/>
        <v>47058</v>
      </c>
      <c r="C43" s="336">
        <f t="shared" ca="1" si="8"/>
        <v>17123201.4373</v>
      </c>
      <c r="D43" s="335"/>
      <c r="E43" s="336">
        <f t="shared" si="17"/>
        <v>0</v>
      </c>
      <c r="F43" s="336">
        <f t="shared" ca="1" si="2"/>
        <v>-71346.672999999995</v>
      </c>
      <c r="G43" s="336">
        <f t="shared" ca="1" si="10"/>
        <v>71346.672999999995</v>
      </c>
      <c r="H43" s="336">
        <f t="shared" ca="1" si="11"/>
        <v>17194548.110300001</v>
      </c>
      <c r="I43" s="337">
        <f t="shared" ca="1" si="3"/>
        <v>-17194548</v>
      </c>
      <c r="J43" s="338">
        <v>27</v>
      </c>
      <c r="K43" s="122" cm="1">
        <f t="array" aca="1" ref="K43" ca="1">'Itemized Costs-HIDDEN'!M31-INDIRECT("'Sch3-Perf Period Cash Flow'!D"&amp;7&amp;"")</f>
        <v>2458418</v>
      </c>
      <c r="L43" s="122">
        <v>0</v>
      </c>
      <c r="M43" s="122">
        <f t="shared" ca="1" si="4"/>
        <v>0</v>
      </c>
      <c r="N43" s="122">
        <f ca="1">ROUND(SUM(INDIRECT(S43):INDIRECT(T43)),0)</f>
        <v>0</v>
      </c>
      <c r="O43" s="122">
        <f ca="1">IF(N43=0,0,ROUND(SUM(INDIRECT(U43):INDIRECT(V43)),0))</f>
        <v>0</v>
      </c>
      <c r="P43" s="123" t="str">
        <f t="shared" ca="1" si="5"/>
        <v/>
      </c>
      <c r="Q43" s="1">
        <f t="shared" si="12"/>
        <v>330</v>
      </c>
      <c r="R43" s="1">
        <f t="shared" si="16"/>
        <v>341</v>
      </c>
      <c r="S43" s="1" t="str">
        <f t="shared" si="6"/>
        <v>f330</v>
      </c>
      <c r="T43" s="1" t="str">
        <f t="shared" si="6"/>
        <v>f341</v>
      </c>
      <c r="U43" s="1" t="str">
        <f t="shared" ref="U43:V56" si="18">CONCATENATE("G",Q43)</f>
        <v>G330</v>
      </c>
      <c r="V43" s="1" t="str">
        <f t="shared" si="18"/>
        <v>G341</v>
      </c>
    </row>
    <row r="44" spans="1:22">
      <c r="A44" s="335">
        <f t="shared" si="7"/>
        <v>27</v>
      </c>
      <c r="B44" s="340">
        <f t="shared" si="13"/>
        <v>47088</v>
      </c>
      <c r="C44" s="336">
        <f t="shared" ca="1" si="8"/>
        <v>17194548.110300001</v>
      </c>
      <c r="D44" s="335"/>
      <c r="E44" s="336">
        <f t="shared" si="17"/>
        <v>0</v>
      </c>
      <c r="F44" s="336">
        <f t="shared" ca="1" si="2"/>
        <v>-71643.95</v>
      </c>
      <c r="G44" s="336">
        <f t="shared" ca="1" si="10"/>
        <v>71643.95</v>
      </c>
      <c r="H44" s="336">
        <f t="shared" ca="1" si="11"/>
        <v>17266192.0603</v>
      </c>
      <c r="I44" s="337">
        <f t="shared" ca="1" si="3"/>
        <v>-17266192</v>
      </c>
      <c r="J44" s="338">
        <v>28</v>
      </c>
      <c r="K44" s="122" cm="1">
        <f t="array" aca="1" ref="K44" ca="1">'Itemized Costs-HIDDEN'!M32-INDIRECT("'Sch3-Perf Period Cash Flow'!D"&amp;7&amp;"")</f>
        <v>2458418</v>
      </c>
      <c r="L44" s="122">
        <v>0</v>
      </c>
      <c r="M44" s="122">
        <f t="shared" ca="1" si="4"/>
        <v>0</v>
      </c>
      <c r="N44" s="122">
        <f ca="1">ROUND(SUM(INDIRECT(S44):INDIRECT(T44)),0)</f>
        <v>0</v>
      </c>
      <c r="O44" s="122">
        <f ca="1">IF(N44=0,0,ROUND(SUM(INDIRECT(U44):INDIRECT(V44)),0))</f>
        <v>0</v>
      </c>
      <c r="P44" s="123" t="str">
        <f t="shared" ca="1" si="5"/>
        <v/>
      </c>
      <c r="Q44" s="1">
        <f t="shared" si="12"/>
        <v>342</v>
      </c>
      <c r="R44" s="1">
        <f t="shared" si="16"/>
        <v>353</v>
      </c>
      <c r="S44" s="1" t="str">
        <f t="shared" si="6"/>
        <v>f342</v>
      </c>
      <c r="T44" s="1" t="str">
        <f t="shared" si="6"/>
        <v>f353</v>
      </c>
      <c r="U44" s="1" t="str">
        <f t="shared" si="18"/>
        <v>G342</v>
      </c>
      <c r="V44" s="1" t="str">
        <f t="shared" si="18"/>
        <v>G353</v>
      </c>
    </row>
    <row r="45" spans="1:22">
      <c r="A45" s="335">
        <f t="shared" si="7"/>
        <v>28</v>
      </c>
      <c r="B45" s="340">
        <f t="shared" si="13"/>
        <v>47119</v>
      </c>
      <c r="C45" s="336">
        <f t="shared" ca="1" si="8"/>
        <v>17266192.0603</v>
      </c>
      <c r="D45" s="335"/>
      <c r="E45" s="336">
        <f t="shared" si="17"/>
        <v>0</v>
      </c>
      <c r="F45" s="336">
        <f t="shared" ca="1" si="2"/>
        <v>-71942.467000000004</v>
      </c>
      <c r="G45" s="336">
        <f t="shared" ca="1" si="10"/>
        <v>71942.467000000004</v>
      </c>
      <c r="H45" s="336">
        <f t="shared" ca="1" si="11"/>
        <v>17338134.5273</v>
      </c>
      <c r="I45" s="337">
        <f t="shared" ca="1" si="3"/>
        <v>-17338135</v>
      </c>
      <c r="J45" s="338">
        <v>29</v>
      </c>
      <c r="K45" s="122" cm="1">
        <f t="array" aca="1" ref="K45" ca="1">'Itemized Costs-HIDDEN'!M33-INDIRECT("'Sch3-Perf Period Cash Flow'!D"&amp;7&amp;"")</f>
        <v>2458418</v>
      </c>
      <c r="L45" s="122">
        <v>0</v>
      </c>
      <c r="M45" s="122">
        <f t="shared" ca="1" si="4"/>
        <v>0</v>
      </c>
      <c r="N45" s="122">
        <f ca="1">ROUND(SUM(INDIRECT(S45):INDIRECT(T45)),0)</f>
        <v>0</v>
      </c>
      <c r="O45" s="122">
        <f ca="1">IF(N45=0,0,ROUND(SUM(INDIRECT(U45):INDIRECT(V45)),0))</f>
        <v>0</v>
      </c>
      <c r="P45" s="123" t="str">
        <f t="shared" ca="1" si="5"/>
        <v/>
      </c>
      <c r="Q45" s="1">
        <f t="shared" si="12"/>
        <v>354</v>
      </c>
      <c r="R45" s="1">
        <f t="shared" si="16"/>
        <v>365</v>
      </c>
      <c r="S45" s="1" t="str">
        <f t="shared" si="6"/>
        <v>f354</v>
      </c>
      <c r="T45" s="1" t="str">
        <f t="shared" si="6"/>
        <v>f365</v>
      </c>
      <c r="U45" s="1" t="str">
        <f t="shared" si="18"/>
        <v>G354</v>
      </c>
      <c r="V45" s="1" t="str">
        <f t="shared" si="18"/>
        <v>G365</v>
      </c>
    </row>
    <row r="46" spans="1:22">
      <c r="A46" s="335">
        <f t="shared" si="7"/>
        <v>29</v>
      </c>
      <c r="B46" s="340">
        <f t="shared" si="13"/>
        <v>47150</v>
      </c>
      <c r="C46" s="336">
        <f t="shared" ca="1" si="8"/>
        <v>17338134.5273</v>
      </c>
      <c r="D46" s="335"/>
      <c r="E46" s="336">
        <f t="shared" si="17"/>
        <v>0</v>
      </c>
      <c r="F46" s="336">
        <f t="shared" ca="1" si="2"/>
        <v>-72242.226999999999</v>
      </c>
      <c r="G46" s="336">
        <f t="shared" ca="1" si="10"/>
        <v>72242.226999999999</v>
      </c>
      <c r="H46" s="336">
        <f t="shared" ca="1" si="11"/>
        <v>17410376.754299998</v>
      </c>
      <c r="I46" s="337">
        <f t="shared" ca="1" si="3"/>
        <v>-17410377</v>
      </c>
      <c r="J46" s="338">
        <v>30</v>
      </c>
      <c r="K46" s="122" cm="1">
        <f t="array" aca="1" ref="K46" ca="1">'Itemized Costs-HIDDEN'!M34-INDIRECT("'Sch3-Perf Period Cash Flow'!D"&amp;7&amp;"")</f>
        <v>2458418</v>
      </c>
      <c r="L46" s="122">
        <v>0</v>
      </c>
      <c r="M46" s="122">
        <f t="shared" ca="1" si="4"/>
        <v>0</v>
      </c>
      <c r="N46" s="122">
        <f ca="1">ROUND(SUM(INDIRECT(S46):INDIRECT(T46)),0)</f>
        <v>0</v>
      </c>
      <c r="O46" s="122">
        <f ca="1">IF(N46=0,0,ROUND(SUM(INDIRECT(U46):INDIRECT(V46)),0))</f>
        <v>0</v>
      </c>
      <c r="P46" s="123" t="str">
        <f t="shared" ca="1" si="5"/>
        <v/>
      </c>
      <c r="Q46" s="1">
        <f t="shared" si="12"/>
        <v>366</v>
      </c>
      <c r="R46" s="1">
        <f t="shared" si="16"/>
        <v>377</v>
      </c>
      <c r="S46" s="1" t="str">
        <f t="shared" si="6"/>
        <v>f366</v>
      </c>
      <c r="T46" s="1" t="str">
        <f t="shared" si="6"/>
        <v>f377</v>
      </c>
      <c r="U46" s="1" t="str">
        <f t="shared" si="18"/>
        <v>G366</v>
      </c>
      <c r="V46" s="1" t="str">
        <f t="shared" si="18"/>
        <v>G377</v>
      </c>
    </row>
    <row r="47" spans="1:22">
      <c r="A47" s="335">
        <f t="shared" si="7"/>
        <v>30</v>
      </c>
      <c r="B47" s="340">
        <f t="shared" si="13"/>
        <v>47178</v>
      </c>
      <c r="C47" s="336">
        <f t="shared" ca="1" si="8"/>
        <v>17410376.754299998</v>
      </c>
      <c r="D47" s="335"/>
      <c r="E47" s="336">
        <f t="shared" ca="1" si="17"/>
        <v>707141.5</v>
      </c>
      <c r="F47" s="336">
        <f t="shared" ca="1" si="2"/>
        <v>637544.68599999999</v>
      </c>
      <c r="G47" s="336">
        <f t="shared" ca="1" si="10"/>
        <v>69596.813999999998</v>
      </c>
      <c r="H47" s="336">
        <f t="shared" ca="1" si="11"/>
        <v>16772832.068299999</v>
      </c>
      <c r="I47" s="337">
        <f t="shared" ca="1" si="3"/>
        <v>-16772832</v>
      </c>
      <c r="J47" s="338">
        <v>31</v>
      </c>
      <c r="K47" s="122" cm="1">
        <f t="array" aca="1" ref="K47" ca="1">'Itemized Costs-HIDDEN'!M35-INDIRECT("'Sch3-Perf Period Cash Flow'!D"&amp;7&amp;"")</f>
        <v>2458418</v>
      </c>
      <c r="L47" s="122">
        <v>0</v>
      </c>
      <c r="M47" s="122">
        <f t="shared" ca="1" si="4"/>
        <v>0</v>
      </c>
      <c r="N47" s="122">
        <f ca="1">ROUND(SUM(INDIRECT(S47):INDIRECT(T47)),0)</f>
        <v>0</v>
      </c>
      <c r="O47" s="122">
        <f ca="1">IF(N47=0,0,ROUND(SUM(INDIRECT(U47):INDIRECT(V47)),0))</f>
        <v>0</v>
      </c>
      <c r="P47" s="123" t="str">
        <f t="shared" ca="1" si="5"/>
        <v/>
      </c>
      <c r="Q47" s="1">
        <f t="shared" si="12"/>
        <v>378</v>
      </c>
      <c r="R47" s="1">
        <f t="shared" si="16"/>
        <v>389</v>
      </c>
      <c r="S47" s="1" t="str">
        <f t="shared" si="6"/>
        <v>f378</v>
      </c>
      <c r="T47" s="1" t="str">
        <f t="shared" si="6"/>
        <v>f389</v>
      </c>
      <c r="U47" s="1" t="str">
        <f t="shared" si="18"/>
        <v>G378</v>
      </c>
      <c r="V47" s="1" t="str">
        <f t="shared" si="18"/>
        <v>G389</v>
      </c>
    </row>
    <row r="48" spans="1:22">
      <c r="A48" s="335">
        <f t="shared" si="7"/>
        <v>31</v>
      </c>
      <c r="B48" s="340">
        <f t="shared" si="13"/>
        <v>47209</v>
      </c>
      <c r="C48" s="336">
        <f t="shared" ca="1" si="8"/>
        <v>16772832.068299999</v>
      </c>
      <c r="D48" s="335"/>
      <c r="E48" s="336">
        <f t="shared" si="17"/>
        <v>0</v>
      </c>
      <c r="F48" s="336">
        <f t="shared" ca="1" si="2"/>
        <v>-69886.8</v>
      </c>
      <c r="G48" s="336">
        <f t="shared" ca="1" si="10"/>
        <v>69886.8</v>
      </c>
      <c r="H48" s="336">
        <f t="shared" ca="1" si="11"/>
        <v>16842718.868299998</v>
      </c>
      <c r="I48" s="337">
        <f t="shared" ca="1" si="3"/>
        <v>-16842719</v>
      </c>
      <c r="J48" s="338">
        <v>32</v>
      </c>
      <c r="K48" s="122" cm="1">
        <f t="array" aca="1" ref="K48" ca="1">'Itemized Costs-HIDDEN'!M36-INDIRECT("'Sch3-Perf Period Cash Flow'!D"&amp;7&amp;"")</f>
        <v>2458418</v>
      </c>
      <c r="L48" s="122">
        <v>0</v>
      </c>
      <c r="M48" s="122">
        <f t="shared" ca="1" si="4"/>
        <v>0</v>
      </c>
      <c r="N48" s="122">
        <f ca="1">ROUND(SUM(INDIRECT(S48):INDIRECT(T48)),0)</f>
        <v>0</v>
      </c>
      <c r="O48" s="122">
        <f ca="1">IF(N48=0,0,ROUND(SUM(INDIRECT(U48):INDIRECT(V48)),0))</f>
        <v>0</v>
      </c>
      <c r="P48" s="123" t="str">
        <f t="shared" ca="1" si="5"/>
        <v/>
      </c>
      <c r="Q48" s="1">
        <f t="shared" si="12"/>
        <v>390</v>
      </c>
      <c r="R48" s="1">
        <f t="shared" si="16"/>
        <v>401</v>
      </c>
      <c r="S48" s="1" t="str">
        <f t="shared" si="6"/>
        <v>f390</v>
      </c>
      <c r="T48" s="1" t="str">
        <f t="shared" si="6"/>
        <v>f401</v>
      </c>
      <c r="U48" s="1" t="str">
        <f t="shared" si="18"/>
        <v>G390</v>
      </c>
      <c r="V48" s="1" t="str">
        <f t="shared" si="18"/>
        <v>G401</v>
      </c>
    </row>
    <row r="49" spans="1:22">
      <c r="A49" s="335">
        <f t="shared" si="7"/>
        <v>32</v>
      </c>
      <c r="B49" s="340">
        <f t="shared" si="13"/>
        <v>47239</v>
      </c>
      <c r="C49" s="336">
        <f t="shared" ca="1" si="8"/>
        <v>16842718.868299998</v>
      </c>
      <c r="D49" s="335"/>
      <c r="E49" s="336">
        <f t="shared" si="17"/>
        <v>0</v>
      </c>
      <c r="F49" s="336">
        <f t="shared" ca="1" si="2"/>
        <v>-70177.994999999995</v>
      </c>
      <c r="G49" s="336">
        <f t="shared" ca="1" si="10"/>
        <v>70177.994999999995</v>
      </c>
      <c r="H49" s="336">
        <f t="shared" ca="1" si="11"/>
        <v>16912896.863299999</v>
      </c>
      <c r="I49" s="337">
        <f t="shared" ca="1" si="3"/>
        <v>-16912897</v>
      </c>
      <c r="J49" s="338">
        <v>33</v>
      </c>
      <c r="K49" s="122" cm="1">
        <f t="array" aca="1" ref="K49" ca="1">'Itemized Costs-HIDDEN'!M37-INDIRECT("'Sch3-Perf Period Cash Flow'!D"&amp;7&amp;"")</f>
        <v>2458418</v>
      </c>
      <c r="L49" s="122">
        <v>0</v>
      </c>
      <c r="M49" s="122">
        <f t="shared" ca="1" si="4"/>
        <v>0</v>
      </c>
      <c r="N49" s="122">
        <f ca="1">ROUND(SUM(INDIRECT(S49):INDIRECT(T49)),0)</f>
        <v>0</v>
      </c>
      <c r="O49" s="122">
        <f ca="1">IF(N49=0,0,ROUND(SUM(INDIRECT(U49):INDIRECT(V49)),0))</f>
        <v>0</v>
      </c>
      <c r="P49" s="123" t="str">
        <f t="shared" ca="1" si="5"/>
        <v/>
      </c>
      <c r="Q49" s="1">
        <f t="shared" si="12"/>
        <v>402</v>
      </c>
      <c r="R49" s="1">
        <f t="shared" si="16"/>
        <v>413</v>
      </c>
      <c r="S49" s="1" t="str">
        <f t="shared" si="6"/>
        <v>f402</v>
      </c>
      <c r="T49" s="1" t="str">
        <f t="shared" si="6"/>
        <v>f413</v>
      </c>
      <c r="U49" s="1" t="str">
        <f t="shared" si="18"/>
        <v>G402</v>
      </c>
      <c r="V49" s="1" t="str">
        <f t="shared" si="18"/>
        <v>G413</v>
      </c>
    </row>
    <row r="50" spans="1:22">
      <c r="A50" s="335">
        <f t="shared" si="7"/>
        <v>33</v>
      </c>
      <c r="B50" s="340">
        <f t="shared" si="13"/>
        <v>47270</v>
      </c>
      <c r="C50" s="336">
        <f t="shared" ca="1" si="8"/>
        <v>16912896.863299999</v>
      </c>
      <c r="D50" s="335"/>
      <c r="E50" s="336">
        <f t="shared" si="17"/>
        <v>0</v>
      </c>
      <c r="F50" s="336">
        <f t="shared" ca="1" si="2"/>
        <v>-70470.403999999995</v>
      </c>
      <c r="G50" s="336">
        <f t="shared" ca="1" si="10"/>
        <v>70470.403999999995</v>
      </c>
      <c r="H50" s="336">
        <f t="shared" ca="1" si="11"/>
        <v>16983367.267299999</v>
      </c>
      <c r="I50" s="337">
        <f t="shared" ca="1" si="3"/>
        <v>-16983367</v>
      </c>
      <c r="J50" s="338">
        <v>34</v>
      </c>
      <c r="K50" s="122" cm="1">
        <f t="array" aca="1" ref="K50" ca="1">'Itemized Costs-HIDDEN'!M38-INDIRECT("'Sch3-Perf Period Cash Flow'!D"&amp;7&amp;"")</f>
        <v>2458418</v>
      </c>
      <c r="L50" s="122">
        <v>0</v>
      </c>
      <c r="M50" s="122">
        <f t="shared" ca="1" si="4"/>
        <v>0</v>
      </c>
      <c r="N50" s="122">
        <f ca="1">ROUND(SUM(INDIRECT(S50):INDIRECT(T50)),0)</f>
        <v>0</v>
      </c>
      <c r="O50" s="122">
        <f ca="1">IF(N50=0,0,ROUND(SUM(INDIRECT(U50):INDIRECT(V50)),0))</f>
        <v>0</v>
      </c>
      <c r="P50" s="123" t="str">
        <f t="shared" ca="1" si="5"/>
        <v/>
      </c>
      <c r="Q50" s="1">
        <f t="shared" si="12"/>
        <v>414</v>
      </c>
      <c r="R50" s="1">
        <f t="shared" si="16"/>
        <v>425</v>
      </c>
      <c r="S50" s="1" t="str">
        <f t="shared" si="6"/>
        <v>f414</v>
      </c>
      <c r="T50" s="1" t="str">
        <f t="shared" si="6"/>
        <v>f425</v>
      </c>
      <c r="U50" s="1" t="str">
        <f t="shared" si="18"/>
        <v>G414</v>
      </c>
      <c r="V50" s="1" t="str">
        <f t="shared" si="18"/>
        <v>G425</v>
      </c>
    </row>
    <row r="51" spans="1:22">
      <c r="A51" s="335">
        <f t="shared" si="7"/>
        <v>34</v>
      </c>
      <c r="B51" s="340">
        <f t="shared" si="13"/>
        <v>47300</v>
      </c>
      <c r="C51" s="336">
        <f t="shared" ca="1" si="8"/>
        <v>16983367.267299999</v>
      </c>
      <c r="D51" s="335"/>
      <c r="E51" s="336">
        <f t="shared" si="17"/>
        <v>0</v>
      </c>
      <c r="F51" s="336">
        <f t="shared" ca="1" si="2"/>
        <v>-70764.03</v>
      </c>
      <c r="G51" s="336">
        <f t="shared" ca="1" si="10"/>
        <v>70764.03</v>
      </c>
      <c r="H51" s="336">
        <f t="shared" ca="1" si="11"/>
        <v>17054131.2973</v>
      </c>
      <c r="I51" s="337">
        <f t="shared" ca="1" si="3"/>
        <v>-17054131</v>
      </c>
      <c r="J51" s="338">
        <v>35</v>
      </c>
      <c r="K51" s="122" cm="1">
        <f t="array" aca="1" ref="K51" ca="1">'Itemized Costs-HIDDEN'!M39-INDIRECT("'Sch3-Perf Period Cash Flow'!D"&amp;7&amp;"")</f>
        <v>2458418</v>
      </c>
      <c r="L51" s="122">
        <v>0</v>
      </c>
      <c r="M51" s="122">
        <f t="shared" ca="1" si="4"/>
        <v>0</v>
      </c>
      <c r="N51" s="122">
        <f ca="1">ROUND(SUM(INDIRECT(S51):INDIRECT(T51)),0)</f>
        <v>0</v>
      </c>
      <c r="O51" s="122">
        <f ca="1">IF(N51=0,0,ROUND(SUM(INDIRECT(U51):INDIRECT(V51)),0))</f>
        <v>0</v>
      </c>
      <c r="P51" s="123" t="str">
        <f t="shared" ca="1" si="5"/>
        <v/>
      </c>
      <c r="Q51" s="1">
        <f t="shared" si="12"/>
        <v>426</v>
      </c>
      <c r="R51" s="1">
        <f t="shared" si="16"/>
        <v>437</v>
      </c>
      <c r="S51" s="1" t="str">
        <f t="shared" si="6"/>
        <v>f426</v>
      </c>
      <c r="T51" s="1" t="str">
        <f t="shared" si="6"/>
        <v>f437</v>
      </c>
      <c r="U51" s="1" t="str">
        <f t="shared" si="18"/>
        <v>G426</v>
      </c>
      <c r="V51" s="1" t="str">
        <f t="shared" si="18"/>
        <v>G437</v>
      </c>
    </row>
    <row r="52" spans="1:22">
      <c r="A52" s="335">
        <f t="shared" si="7"/>
        <v>35</v>
      </c>
      <c r="B52" s="340">
        <f t="shared" si="13"/>
        <v>47331</v>
      </c>
      <c r="C52" s="336">
        <f t="shared" ca="1" si="8"/>
        <v>17054131.2973</v>
      </c>
      <c r="D52" s="335"/>
      <c r="E52" s="336">
        <f t="shared" si="17"/>
        <v>0</v>
      </c>
      <c r="F52" s="336">
        <f t="shared" ca="1" si="2"/>
        <v>-71058.880000000005</v>
      </c>
      <c r="G52" s="336">
        <f t="shared" ca="1" si="10"/>
        <v>71058.880000000005</v>
      </c>
      <c r="H52" s="336">
        <f t="shared" ca="1" si="11"/>
        <v>17125190.177299999</v>
      </c>
      <c r="I52" s="337">
        <f t="shared" ca="1" si="3"/>
        <v>-17125190</v>
      </c>
      <c r="J52" s="338">
        <v>36</v>
      </c>
      <c r="K52" s="122" cm="1">
        <f t="array" aca="1" ref="K52" ca="1">'Itemized Costs-HIDDEN'!M40-INDIRECT("'Sch3-Perf Period Cash Flow'!D"&amp;7&amp;"")</f>
        <v>2458418</v>
      </c>
      <c r="L52" s="122">
        <v>0</v>
      </c>
      <c r="M52" s="122">
        <f t="shared" ca="1" si="4"/>
        <v>0</v>
      </c>
      <c r="N52" s="122">
        <f ca="1">ROUND(SUM(INDIRECT(S52):INDIRECT(T52)),0)</f>
        <v>0</v>
      </c>
      <c r="O52" s="122">
        <f ca="1">IF(N52=0,0,ROUND(SUM(INDIRECT(U52):INDIRECT(V52)),0))</f>
        <v>0</v>
      </c>
      <c r="P52" s="123" t="str">
        <f t="shared" ca="1" si="5"/>
        <v/>
      </c>
      <c r="Q52" s="1">
        <f t="shared" si="12"/>
        <v>438</v>
      </c>
      <c r="R52" s="1">
        <f t="shared" si="16"/>
        <v>449</v>
      </c>
      <c r="S52" s="1" t="str">
        <f t="shared" si="6"/>
        <v>f438</v>
      </c>
      <c r="T52" s="1" t="str">
        <f t="shared" si="6"/>
        <v>f449</v>
      </c>
      <c r="U52" s="1" t="str">
        <f t="shared" si="18"/>
        <v>G438</v>
      </c>
      <c r="V52" s="1" t="str">
        <f t="shared" si="18"/>
        <v>G449</v>
      </c>
    </row>
    <row r="53" spans="1:22">
      <c r="A53" s="335">
        <f t="shared" si="7"/>
        <v>36</v>
      </c>
      <c r="B53" s="340">
        <f t="shared" si="13"/>
        <v>47362</v>
      </c>
      <c r="C53" s="336">
        <f t="shared" ca="1" si="8"/>
        <v>17125190.177299999</v>
      </c>
      <c r="D53" s="336">
        <f ca="1">IF(H53&lt;0,0,0.5*(K20-L20))</f>
        <v>721273</v>
      </c>
      <c r="E53" s="336">
        <f t="shared" ca="1" si="17"/>
        <v>707141.5</v>
      </c>
      <c r="F53" s="336">
        <f t="shared" ca="1" si="2"/>
        <v>638732.96400000004</v>
      </c>
      <c r="G53" s="336">
        <f t="shared" ca="1" si="10"/>
        <v>68408.535999999993</v>
      </c>
      <c r="H53" s="336">
        <f t="shared" ca="1" si="11"/>
        <v>16486457.213300001</v>
      </c>
      <c r="I53" s="337">
        <f t="shared" ca="1" si="3"/>
        <v>-15765184</v>
      </c>
      <c r="J53" s="338">
        <v>37</v>
      </c>
      <c r="K53" s="122" cm="1">
        <f t="array" aca="1" ref="K53" ca="1">'Itemized Costs-HIDDEN'!M41-INDIRECT("'Sch3-Perf Period Cash Flow'!D"&amp;7&amp;"")</f>
        <v>2458418</v>
      </c>
      <c r="L53" s="122">
        <v>0</v>
      </c>
      <c r="M53" s="122">
        <f t="shared" ca="1" si="4"/>
        <v>0</v>
      </c>
      <c r="N53" s="122">
        <f ca="1">ROUND(SUM(INDIRECT(S53):INDIRECT(T53)),0)</f>
        <v>0</v>
      </c>
      <c r="O53" s="122">
        <f ca="1">IF(N53=0,0,ROUND(SUM(INDIRECT(U53):INDIRECT(V53)),0))</f>
        <v>0</v>
      </c>
      <c r="P53" s="123" t="str">
        <f t="shared" ca="1" si="5"/>
        <v/>
      </c>
      <c r="Q53" s="1">
        <f t="shared" si="12"/>
        <v>450</v>
      </c>
      <c r="R53" s="1">
        <f t="shared" si="16"/>
        <v>461</v>
      </c>
      <c r="S53" s="1" t="str">
        <f t="shared" si="6"/>
        <v>f450</v>
      </c>
      <c r="T53" s="1" t="str">
        <f t="shared" si="6"/>
        <v>f461</v>
      </c>
      <c r="U53" s="1" t="str">
        <f t="shared" si="18"/>
        <v>G450</v>
      </c>
      <c r="V53" s="1" t="str">
        <f t="shared" si="18"/>
        <v>G461</v>
      </c>
    </row>
    <row r="54" spans="1:22">
      <c r="A54" s="335">
        <f t="shared" si="7"/>
        <v>37</v>
      </c>
      <c r="B54" s="340">
        <f t="shared" si="13"/>
        <v>47392</v>
      </c>
      <c r="C54" s="336">
        <f t="shared" ca="1" si="8"/>
        <v>16486457.213300001</v>
      </c>
      <c r="D54" s="336"/>
      <c r="E54" s="336">
        <f t="shared" ref="E54:E65" si="19">IF($D$10=1,IF(OR(MONTH(B54)=MONTH(EDATE($D$7,0)),MONTH(B54)=MONTH(EDATE($D$7,6))),(MIN($D$53,H53)),0),IF($D$10=0,IF(OR(MONTH(B54)=MONTH(EDATE($D$7,5)),MONTH(B54)=MONTH(EDATE($D$7,11))),(MIN($D$53,H53)),0)))</f>
        <v>0</v>
      </c>
      <c r="F54" s="336">
        <f t="shared" ca="1" si="2"/>
        <v>-68693.572</v>
      </c>
      <c r="G54" s="336">
        <f t="shared" ca="1" si="10"/>
        <v>68693.572</v>
      </c>
      <c r="H54" s="336">
        <f t="shared" ca="1" si="11"/>
        <v>16555150.7853</v>
      </c>
      <c r="I54" s="337">
        <f t="shared" ca="1" si="3"/>
        <v>-16555151</v>
      </c>
      <c r="J54" s="338">
        <v>38</v>
      </c>
      <c r="K54" s="122" cm="1">
        <f t="array" aca="1" ref="K54" ca="1">'Itemized Costs-HIDDEN'!M42-INDIRECT("'Sch3-Perf Period Cash Flow'!D"&amp;7&amp;"")</f>
        <v>2458418</v>
      </c>
      <c r="L54" s="122">
        <v>0</v>
      </c>
      <c r="M54" s="122">
        <f t="shared" ca="1" si="4"/>
        <v>0</v>
      </c>
      <c r="N54" s="122">
        <f ca="1">ROUND(SUM(INDIRECT(S54):INDIRECT(T54)),0)</f>
        <v>0</v>
      </c>
      <c r="O54" s="122">
        <f ca="1">IF(N54=0,0,ROUND(SUM(INDIRECT(U54):INDIRECT(V54)),0))</f>
        <v>0</v>
      </c>
      <c r="P54" s="123" t="str">
        <f t="shared" ca="1" si="5"/>
        <v/>
      </c>
      <c r="Q54" s="1">
        <f t="shared" si="12"/>
        <v>462</v>
      </c>
      <c r="R54" s="1">
        <f t="shared" si="16"/>
        <v>473</v>
      </c>
      <c r="S54" s="1" t="str">
        <f t="shared" si="6"/>
        <v>f462</v>
      </c>
      <c r="T54" s="1" t="str">
        <f t="shared" si="6"/>
        <v>f473</v>
      </c>
      <c r="U54" s="1" t="str">
        <f t="shared" si="18"/>
        <v>G462</v>
      </c>
      <c r="V54" s="1" t="str">
        <f t="shared" si="18"/>
        <v>G473</v>
      </c>
    </row>
    <row r="55" spans="1:22">
      <c r="A55" s="335">
        <f t="shared" si="7"/>
        <v>38</v>
      </c>
      <c r="B55" s="340">
        <f t="shared" si="13"/>
        <v>47423</v>
      </c>
      <c r="C55" s="336">
        <f t="shared" ca="1" si="8"/>
        <v>16555150.7853</v>
      </c>
      <c r="D55" s="335"/>
      <c r="E55" s="336">
        <f t="shared" si="19"/>
        <v>0</v>
      </c>
      <c r="F55" s="336">
        <f t="shared" ca="1" si="2"/>
        <v>-68979.794999999998</v>
      </c>
      <c r="G55" s="336">
        <f t="shared" ca="1" si="10"/>
        <v>68979.794999999998</v>
      </c>
      <c r="H55" s="336">
        <f t="shared" ca="1" si="11"/>
        <v>16624130.5803</v>
      </c>
      <c r="I55" s="337">
        <f t="shared" ca="1" si="3"/>
        <v>-16624131</v>
      </c>
      <c r="J55" s="338">
        <v>39</v>
      </c>
      <c r="K55" s="122" cm="1">
        <f t="array" aca="1" ref="K55" ca="1">'Itemized Costs-HIDDEN'!M43-INDIRECT("'Sch3-Perf Period Cash Flow'!D"&amp;7&amp;"")</f>
        <v>2458418</v>
      </c>
      <c r="L55" s="122">
        <v>0</v>
      </c>
      <c r="M55" s="122">
        <f t="shared" ca="1" si="4"/>
        <v>0</v>
      </c>
      <c r="N55" s="122">
        <f ca="1">ROUND(SUM(INDIRECT(S55):INDIRECT(T55)),0)</f>
        <v>0</v>
      </c>
      <c r="O55" s="122">
        <f ca="1">IF(N55=0,0,ROUND(SUM(INDIRECT(U55):INDIRECT(V55)),0))</f>
        <v>0</v>
      </c>
      <c r="P55" s="123" t="str">
        <f t="shared" ca="1" si="5"/>
        <v/>
      </c>
      <c r="Q55" s="1">
        <f t="shared" si="12"/>
        <v>474</v>
      </c>
      <c r="R55" s="1">
        <f t="shared" si="16"/>
        <v>485</v>
      </c>
      <c r="S55" s="1" t="str">
        <f t="shared" si="6"/>
        <v>f474</v>
      </c>
      <c r="T55" s="1" t="str">
        <f t="shared" si="6"/>
        <v>f485</v>
      </c>
      <c r="U55" s="1" t="str">
        <f t="shared" si="18"/>
        <v>G474</v>
      </c>
      <c r="V55" s="1" t="str">
        <f t="shared" si="18"/>
        <v>G485</v>
      </c>
    </row>
    <row r="56" spans="1:22">
      <c r="A56" s="335">
        <f t="shared" si="7"/>
        <v>39</v>
      </c>
      <c r="B56" s="340">
        <f t="shared" si="13"/>
        <v>47453</v>
      </c>
      <c r="C56" s="336">
        <f t="shared" ca="1" si="8"/>
        <v>16624130.5803</v>
      </c>
      <c r="D56" s="335"/>
      <c r="E56" s="336">
        <f t="shared" si="19"/>
        <v>0</v>
      </c>
      <c r="F56" s="336">
        <f t="shared" ca="1" si="2"/>
        <v>-69267.210999999996</v>
      </c>
      <c r="G56" s="336">
        <f t="shared" ca="1" si="10"/>
        <v>69267.210999999996</v>
      </c>
      <c r="H56" s="336">
        <f t="shared" ca="1" si="11"/>
        <v>16693397.791300001</v>
      </c>
      <c r="I56" s="337">
        <f t="shared" ca="1" si="3"/>
        <v>-16693398</v>
      </c>
      <c r="J56" s="338">
        <v>40</v>
      </c>
      <c r="K56" s="122" cm="1">
        <f t="array" aca="1" ref="K56" ca="1">'Itemized Costs-HIDDEN'!M44-INDIRECT("'Sch3-Perf Period Cash Flow'!D"&amp;7&amp;"")</f>
        <v>2458418</v>
      </c>
      <c r="L56" s="122">
        <v>0</v>
      </c>
      <c r="M56" s="122">
        <f t="shared" ca="1" si="4"/>
        <v>0</v>
      </c>
      <c r="N56" s="122">
        <f ca="1">ROUND(SUM(INDIRECT(S56):INDIRECT(T56)),0)</f>
        <v>0</v>
      </c>
      <c r="O56" s="122">
        <f ca="1">IF(N56=0,0,ROUND(SUM(INDIRECT(U56):INDIRECT(V56)),0))</f>
        <v>0</v>
      </c>
      <c r="P56" s="123" t="str">
        <f t="shared" ca="1" si="5"/>
        <v/>
      </c>
      <c r="Q56" s="1">
        <f t="shared" si="12"/>
        <v>486</v>
      </c>
      <c r="R56" s="1">
        <f t="shared" si="16"/>
        <v>497</v>
      </c>
      <c r="S56" s="1" t="str">
        <f t="shared" si="6"/>
        <v>f486</v>
      </c>
      <c r="T56" s="1" t="str">
        <f t="shared" si="6"/>
        <v>f497</v>
      </c>
      <c r="U56" s="1" t="str">
        <f t="shared" si="18"/>
        <v>G486</v>
      </c>
      <c r="V56" s="1" t="str">
        <f t="shared" si="18"/>
        <v>G497</v>
      </c>
    </row>
    <row r="57" spans="1:22">
      <c r="A57" s="335">
        <f t="shared" si="7"/>
        <v>40</v>
      </c>
      <c r="B57" s="340">
        <f t="shared" si="13"/>
        <v>47484</v>
      </c>
      <c r="C57" s="336">
        <f t="shared" ca="1" si="8"/>
        <v>16693397.791300001</v>
      </c>
      <c r="D57" s="335"/>
      <c r="E57" s="336">
        <f t="shared" si="19"/>
        <v>0</v>
      </c>
      <c r="F57" s="336">
        <f t="shared" ca="1" si="2"/>
        <v>-69555.823999999993</v>
      </c>
      <c r="G57" s="336">
        <f t="shared" ca="1" si="10"/>
        <v>69555.823999999993</v>
      </c>
      <c r="H57" s="336">
        <f t="shared" ca="1" si="11"/>
        <v>16762953.6153</v>
      </c>
      <c r="I57" s="337">
        <f t="shared" ca="1" si="3"/>
        <v>-16762954</v>
      </c>
      <c r="J57" s="1"/>
      <c r="K57" s="1"/>
      <c r="L57" s="1"/>
      <c r="M57" s="1"/>
      <c r="N57" s="1"/>
      <c r="O57" s="1"/>
      <c r="P57" s="1"/>
      <c r="Q57" s="1"/>
      <c r="R57" s="1"/>
      <c r="S57" s="1"/>
      <c r="T57" s="1"/>
      <c r="U57" s="1"/>
      <c r="V57" s="1"/>
    </row>
    <row r="58" spans="1:22">
      <c r="A58" s="335">
        <f t="shared" si="7"/>
        <v>41</v>
      </c>
      <c r="B58" s="340">
        <f t="shared" si="13"/>
        <v>47515</v>
      </c>
      <c r="C58" s="336">
        <f t="shared" ca="1" si="8"/>
        <v>16762953.6153</v>
      </c>
      <c r="D58" s="335"/>
      <c r="E58" s="336">
        <f t="shared" si="19"/>
        <v>0</v>
      </c>
      <c r="F58" s="336">
        <f t="shared" ca="1" si="2"/>
        <v>-69845.64</v>
      </c>
      <c r="G58" s="336">
        <f t="shared" ca="1" si="10"/>
        <v>69845.64</v>
      </c>
      <c r="H58" s="336">
        <f t="shared" ca="1" si="11"/>
        <v>16832799.2553</v>
      </c>
      <c r="I58" s="337">
        <f t="shared" ca="1" si="3"/>
        <v>-16832799</v>
      </c>
      <c r="J58" s="1"/>
      <c r="K58" s="1"/>
      <c r="L58" s="1"/>
      <c r="M58" s="1"/>
      <c r="N58" s="1"/>
      <c r="O58" s="1"/>
      <c r="P58" s="1"/>
      <c r="Q58" s="1"/>
      <c r="R58" s="1"/>
      <c r="S58" s="1"/>
      <c r="T58" s="1"/>
      <c r="U58" s="1"/>
      <c r="V58" s="1"/>
    </row>
    <row r="59" spans="1:22">
      <c r="A59" s="335">
        <f t="shared" si="7"/>
        <v>42</v>
      </c>
      <c r="B59" s="340">
        <f t="shared" si="13"/>
        <v>47543</v>
      </c>
      <c r="C59" s="336">
        <f t="shared" ca="1" si="8"/>
        <v>16832799.2553</v>
      </c>
      <c r="D59" s="335"/>
      <c r="E59" s="336">
        <f t="shared" ca="1" si="19"/>
        <v>721273</v>
      </c>
      <c r="F59" s="336">
        <f t="shared" ca="1" si="2"/>
        <v>654141.64100000006</v>
      </c>
      <c r="G59" s="336">
        <f t="shared" ca="1" si="10"/>
        <v>67131.358999999997</v>
      </c>
      <c r="H59" s="336">
        <f t="shared" ca="1" si="11"/>
        <v>16178657.6143</v>
      </c>
      <c r="I59" s="337">
        <f t="shared" ca="1" si="3"/>
        <v>-16178658</v>
      </c>
      <c r="J59" s="1"/>
      <c r="K59" s="1"/>
      <c r="L59" s="1"/>
      <c r="M59" s="1"/>
      <c r="N59" s="1"/>
      <c r="O59" s="1"/>
      <c r="P59" s="1"/>
      <c r="Q59" s="1"/>
      <c r="R59" s="1"/>
      <c r="S59" s="1"/>
      <c r="T59" s="1"/>
      <c r="U59" s="1"/>
      <c r="V59" s="1"/>
    </row>
    <row r="60" spans="1:22">
      <c r="A60" s="335">
        <f t="shared" si="7"/>
        <v>43</v>
      </c>
      <c r="B60" s="340">
        <f t="shared" si="13"/>
        <v>47574</v>
      </c>
      <c r="C60" s="336">
        <f t="shared" ca="1" si="8"/>
        <v>16178657.6143</v>
      </c>
      <c r="D60" s="335"/>
      <c r="E60" s="336">
        <f t="shared" si="19"/>
        <v>0</v>
      </c>
      <c r="F60" s="336">
        <f t="shared" ca="1" si="2"/>
        <v>-67411.073000000004</v>
      </c>
      <c r="G60" s="336">
        <f t="shared" ca="1" si="10"/>
        <v>67411.073000000004</v>
      </c>
      <c r="H60" s="336">
        <f t="shared" ca="1" si="11"/>
        <v>16246068.6873</v>
      </c>
      <c r="I60" s="337">
        <f t="shared" ca="1" si="3"/>
        <v>-16246069</v>
      </c>
      <c r="J60" s="1"/>
      <c r="K60" s="1"/>
      <c r="L60" s="1"/>
      <c r="M60" s="1"/>
      <c r="N60" s="1"/>
      <c r="O60" s="1"/>
      <c r="P60" s="1"/>
      <c r="Q60" s="1"/>
      <c r="R60" s="1"/>
      <c r="S60" s="1"/>
      <c r="T60" s="1"/>
      <c r="U60" s="1"/>
      <c r="V60" s="1"/>
    </row>
    <row r="61" spans="1:22">
      <c r="A61" s="335">
        <f t="shared" si="7"/>
        <v>44</v>
      </c>
      <c r="B61" s="340">
        <f t="shared" si="13"/>
        <v>47604</v>
      </c>
      <c r="C61" s="336">
        <f t="shared" ca="1" si="8"/>
        <v>16246068.6873</v>
      </c>
      <c r="D61" s="335"/>
      <c r="E61" s="336">
        <f t="shared" si="19"/>
        <v>0</v>
      </c>
      <c r="F61" s="336">
        <f t="shared" ca="1" si="2"/>
        <v>-67691.952999999994</v>
      </c>
      <c r="G61" s="336">
        <f t="shared" ca="1" si="10"/>
        <v>67691.952999999994</v>
      </c>
      <c r="H61" s="336">
        <f t="shared" ca="1" si="11"/>
        <v>16313760.6403</v>
      </c>
      <c r="I61" s="337">
        <f t="shared" ca="1" si="3"/>
        <v>-16313761</v>
      </c>
      <c r="J61" s="1"/>
      <c r="K61" s="1"/>
      <c r="L61" s="1"/>
      <c r="M61" s="1"/>
      <c r="N61" s="1"/>
      <c r="O61" s="1"/>
      <c r="P61" s="1"/>
      <c r="Q61" s="1"/>
      <c r="R61" s="1"/>
      <c r="S61" s="1"/>
      <c r="T61" s="1"/>
      <c r="U61" s="1"/>
      <c r="V61" s="1"/>
    </row>
    <row r="62" spans="1:22">
      <c r="A62" s="335">
        <f t="shared" si="7"/>
        <v>45</v>
      </c>
      <c r="B62" s="340">
        <f t="shared" si="13"/>
        <v>47635</v>
      </c>
      <c r="C62" s="336">
        <f t="shared" ca="1" si="8"/>
        <v>16313760.6403</v>
      </c>
      <c r="D62" s="335"/>
      <c r="E62" s="336">
        <f t="shared" si="19"/>
        <v>0</v>
      </c>
      <c r="F62" s="336">
        <f t="shared" ca="1" si="2"/>
        <v>-67974.002999999997</v>
      </c>
      <c r="G62" s="336">
        <f t="shared" ca="1" si="10"/>
        <v>67974.002999999997</v>
      </c>
      <c r="H62" s="336">
        <f t="shared" ca="1" si="11"/>
        <v>16381734.643300001</v>
      </c>
      <c r="I62" s="337">
        <f t="shared" ca="1" si="3"/>
        <v>-16381735</v>
      </c>
      <c r="J62" s="1"/>
      <c r="K62" s="1"/>
      <c r="L62" s="1"/>
      <c r="M62" s="1"/>
      <c r="N62" s="1"/>
      <c r="O62" s="1"/>
      <c r="P62" s="1"/>
      <c r="Q62" s="1"/>
      <c r="R62" s="1"/>
      <c r="S62" s="1"/>
      <c r="T62" s="1"/>
      <c r="U62" s="1"/>
      <c r="V62" s="1"/>
    </row>
    <row r="63" spans="1:22">
      <c r="A63" s="335">
        <f t="shared" si="7"/>
        <v>46</v>
      </c>
      <c r="B63" s="340">
        <f t="shared" si="13"/>
        <v>47665</v>
      </c>
      <c r="C63" s="336">
        <f t="shared" ca="1" si="8"/>
        <v>16381734.643300001</v>
      </c>
      <c r="D63" s="335"/>
      <c r="E63" s="336">
        <f t="shared" si="19"/>
        <v>0</v>
      </c>
      <c r="F63" s="336">
        <f t="shared" ca="1" si="2"/>
        <v>-68257.228000000003</v>
      </c>
      <c r="G63" s="336">
        <f t="shared" ca="1" si="10"/>
        <v>68257.228000000003</v>
      </c>
      <c r="H63" s="336">
        <f t="shared" ca="1" si="11"/>
        <v>16449991.871300001</v>
      </c>
      <c r="I63" s="337">
        <f t="shared" ca="1" si="3"/>
        <v>-16449992</v>
      </c>
      <c r="J63" s="1"/>
      <c r="K63" s="1"/>
      <c r="L63" s="1"/>
      <c r="M63" s="1"/>
      <c r="N63" s="1"/>
      <c r="O63" s="1"/>
      <c r="P63" s="1"/>
      <c r="Q63" s="1"/>
      <c r="R63" s="1"/>
      <c r="S63" s="1"/>
      <c r="T63" s="1"/>
      <c r="U63" s="1"/>
      <c r="V63" s="1"/>
    </row>
    <row r="64" spans="1:22">
      <c r="A64" s="335">
        <f t="shared" si="7"/>
        <v>47</v>
      </c>
      <c r="B64" s="340">
        <f t="shared" si="13"/>
        <v>47696</v>
      </c>
      <c r="C64" s="336">
        <f t="shared" ca="1" si="8"/>
        <v>16449991.871300001</v>
      </c>
      <c r="D64" s="335"/>
      <c r="E64" s="336">
        <f t="shared" si="19"/>
        <v>0</v>
      </c>
      <c r="F64" s="336">
        <f t="shared" ca="1" si="2"/>
        <v>-68541.633000000002</v>
      </c>
      <c r="G64" s="336">
        <f t="shared" ca="1" si="10"/>
        <v>68541.633000000002</v>
      </c>
      <c r="H64" s="336">
        <f t="shared" ca="1" si="11"/>
        <v>16518533.5043</v>
      </c>
      <c r="I64" s="337">
        <f t="shared" ca="1" si="3"/>
        <v>-16518534</v>
      </c>
      <c r="J64" s="1"/>
      <c r="K64" s="1"/>
      <c r="L64" s="1"/>
      <c r="M64" s="1"/>
      <c r="N64" s="1"/>
      <c r="O64" s="1"/>
      <c r="P64" s="1"/>
      <c r="Q64" s="1"/>
      <c r="R64" s="1"/>
      <c r="S64" s="1"/>
      <c r="T64" s="1"/>
      <c r="U64" s="1"/>
      <c r="V64" s="1"/>
    </row>
    <row r="65" spans="1:22">
      <c r="A65" s="335">
        <f t="shared" si="7"/>
        <v>48</v>
      </c>
      <c r="B65" s="340">
        <f t="shared" si="13"/>
        <v>47727</v>
      </c>
      <c r="C65" s="336">
        <f t="shared" ca="1" si="8"/>
        <v>16518533.5043</v>
      </c>
      <c r="D65" s="336">
        <f ca="1">IF(H65&lt;0,0,0.5*(K21-L21))</f>
        <v>735763</v>
      </c>
      <c r="E65" s="336">
        <f t="shared" ca="1" si="19"/>
        <v>721273</v>
      </c>
      <c r="F65" s="336">
        <f t="shared" ca="1" si="2"/>
        <v>655451.08100000001</v>
      </c>
      <c r="G65" s="336">
        <f t="shared" ca="1" si="10"/>
        <v>65821.918999999994</v>
      </c>
      <c r="H65" s="336">
        <f t="shared" ca="1" si="11"/>
        <v>15863082.4233</v>
      </c>
      <c r="I65" s="337">
        <f t="shared" ca="1" si="3"/>
        <v>-15127319</v>
      </c>
      <c r="J65" s="1"/>
      <c r="K65" s="1"/>
      <c r="L65" s="1"/>
      <c r="M65" s="1"/>
      <c r="N65" s="1"/>
      <c r="O65" s="1"/>
      <c r="P65" s="1"/>
      <c r="Q65" s="1"/>
      <c r="R65" s="1"/>
      <c r="S65" s="1"/>
      <c r="T65" s="1"/>
      <c r="U65" s="1"/>
      <c r="V65" s="1"/>
    </row>
    <row r="66" spans="1:22">
      <c r="A66" s="335">
        <f t="shared" si="7"/>
        <v>49</v>
      </c>
      <c r="B66" s="340">
        <f t="shared" si="13"/>
        <v>47757</v>
      </c>
      <c r="C66" s="336">
        <f t="shared" ca="1" si="8"/>
        <v>15863082.4233</v>
      </c>
      <c r="D66" s="335"/>
      <c r="E66" s="336">
        <f t="shared" ref="E66:E77" si="20">IF($D$10=1,IF(OR(MONTH(B66)=MONTH(EDATE($D$7,0)),MONTH(B66)=MONTH(EDATE($D$7,6))),(MIN($D$65,H65)),0),IF($D$10=0,IF(OR(MONTH(B66)=MONTH(EDATE($D$7,5)),MONTH(B66)=MONTH(EDATE($D$7,11))),(MIN($D$65,H65)),0)))</f>
        <v>0</v>
      </c>
      <c r="F66" s="336">
        <f t="shared" ca="1" si="2"/>
        <v>-66096.176999999996</v>
      </c>
      <c r="G66" s="336">
        <f t="shared" ca="1" si="10"/>
        <v>66096.176999999996</v>
      </c>
      <c r="H66" s="336">
        <f t="shared" ca="1" si="11"/>
        <v>15929178.600299999</v>
      </c>
      <c r="I66" s="337">
        <f t="shared" ca="1" si="3"/>
        <v>-15929179</v>
      </c>
      <c r="J66" s="1"/>
      <c r="K66" s="1"/>
      <c r="L66" s="1"/>
      <c r="M66" s="1"/>
      <c r="N66" s="1"/>
      <c r="O66" s="1"/>
      <c r="P66" s="1"/>
      <c r="Q66" s="1"/>
      <c r="R66" s="1"/>
      <c r="S66" s="1"/>
      <c r="T66" s="1"/>
      <c r="U66" s="1"/>
      <c r="V66" s="1"/>
    </row>
    <row r="67" spans="1:22">
      <c r="A67" s="335">
        <f t="shared" si="7"/>
        <v>50</v>
      </c>
      <c r="B67" s="340">
        <f t="shared" si="13"/>
        <v>47788</v>
      </c>
      <c r="C67" s="336">
        <f t="shared" ca="1" si="8"/>
        <v>15929178.600299999</v>
      </c>
      <c r="D67" s="336"/>
      <c r="E67" s="336">
        <f t="shared" si="20"/>
        <v>0</v>
      </c>
      <c r="F67" s="336">
        <f t="shared" ca="1" si="2"/>
        <v>-66371.577999999994</v>
      </c>
      <c r="G67" s="336">
        <f t="shared" ca="1" si="10"/>
        <v>66371.577999999994</v>
      </c>
      <c r="H67" s="336">
        <f t="shared" ca="1" si="11"/>
        <v>15995550.178300001</v>
      </c>
      <c r="I67" s="337">
        <f t="shared" ca="1" si="3"/>
        <v>-15995550</v>
      </c>
      <c r="J67" s="1"/>
      <c r="K67" s="1"/>
      <c r="L67" s="1"/>
      <c r="M67" s="1"/>
      <c r="N67" s="1"/>
      <c r="O67" s="1"/>
      <c r="P67" s="1"/>
      <c r="Q67" s="1"/>
      <c r="R67" s="1"/>
      <c r="S67" s="1"/>
      <c r="T67" s="1"/>
      <c r="U67" s="1"/>
      <c r="V67" s="1"/>
    </row>
    <row r="68" spans="1:22">
      <c r="A68" s="335">
        <f t="shared" si="7"/>
        <v>51</v>
      </c>
      <c r="B68" s="340">
        <f t="shared" si="13"/>
        <v>47818</v>
      </c>
      <c r="C68" s="336">
        <f t="shared" ca="1" si="8"/>
        <v>15995550.178300001</v>
      </c>
      <c r="D68" s="335"/>
      <c r="E68" s="336">
        <f t="shared" si="20"/>
        <v>0</v>
      </c>
      <c r="F68" s="336">
        <f t="shared" ca="1" si="2"/>
        <v>-66648.126000000004</v>
      </c>
      <c r="G68" s="336">
        <f t="shared" ca="1" si="10"/>
        <v>66648.126000000004</v>
      </c>
      <c r="H68" s="336">
        <f t="shared" ca="1" si="11"/>
        <v>16062198.304300001</v>
      </c>
      <c r="I68" s="337">
        <f t="shared" ca="1" si="3"/>
        <v>-16062198</v>
      </c>
      <c r="J68" s="1"/>
      <c r="K68" s="1"/>
      <c r="L68" s="1"/>
      <c r="M68" s="1"/>
      <c r="N68" s="1"/>
      <c r="O68" s="1"/>
      <c r="P68" s="1"/>
      <c r="Q68" s="1"/>
      <c r="R68" s="1"/>
      <c r="S68" s="1"/>
      <c r="T68" s="1"/>
      <c r="U68" s="1"/>
      <c r="V68" s="1"/>
    </row>
    <row r="69" spans="1:22">
      <c r="A69" s="335">
        <f t="shared" si="7"/>
        <v>52</v>
      </c>
      <c r="B69" s="340">
        <f t="shared" si="13"/>
        <v>47849</v>
      </c>
      <c r="C69" s="336">
        <f t="shared" ca="1" si="8"/>
        <v>16062198.304300001</v>
      </c>
      <c r="D69" s="335"/>
      <c r="E69" s="336">
        <f t="shared" si="20"/>
        <v>0</v>
      </c>
      <c r="F69" s="336">
        <f t="shared" ca="1" si="2"/>
        <v>-66925.826000000001</v>
      </c>
      <c r="G69" s="336">
        <f t="shared" ca="1" si="10"/>
        <v>66925.826000000001</v>
      </c>
      <c r="H69" s="336">
        <f t="shared" ca="1" si="11"/>
        <v>16129124.1303</v>
      </c>
      <c r="I69" s="337">
        <f t="shared" ca="1" si="3"/>
        <v>-16129124</v>
      </c>
      <c r="J69" s="1"/>
      <c r="K69" s="1"/>
      <c r="L69" s="1"/>
      <c r="M69" s="1"/>
      <c r="N69" s="1"/>
      <c r="O69" s="1"/>
      <c r="P69" s="1"/>
      <c r="Q69" s="1"/>
      <c r="R69" s="1"/>
      <c r="S69" s="1"/>
      <c r="T69" s="1"/>
      <c r="U69" s="1"/>
      <c r="V69" s="1"/>
    </row>
    <row r="70" spans="1:22">
      <c r="A70" s="335">
        <f t="shared" si="7"/>
        <v>53</v>
      </c>
      <c r="B70" s="340">
        <f t="shared" si="13"/>
        <v>47880</v>
      </c>
      <c r="C70" s="336">
        <f t="shared" ca="1" si="8"/>
        <v>16129124.1303</v>
      </c>
      <c r="D70" s="335"/>
      <c r="E70" s="336">
        <f t="shared" si="20"/>
        <v>0</v>
      </c>
      <c r="F70" s="336">
        <f t="shared" ca="1" si="2"/>
        <v>-67204.683999999994</v>
      </c>
      <c r="G70" s="336">
        <f t="shared" ca="1" si="10"/>
        <v>67204.683999999994</v>
      </c>
      <c r="H70" s="336">
        <f t="shared" ca="1" si="11"/>
        <v>16196328.814300001</v>
      </c>
      <c r="I70" s="337">
        <f t="shared" ca="1" si="3"/>
        <v>-16196329</v>
      </c>
      <c r="J70" s="1"/>
      <c r="K70" s="1"/>
      <c r="L70" s="1"/>
      <c r="M70" s="1"/>
      <c r="N70" s="1"/>
      <c r="O70" s="1"/>
      <c r="P70" s="1"/>
      <c r="Q70" s="1"/>
      <c r="R70" s="1"/>
      <c r="S70" s="1"/>
      <c r="T70" s="1"/>
      <c r="U70" s="1"/>
      <c r="V70" s="1"/>
    </row>
    <row r="71" spans="1:22">
      <c r="A71" s="335">
        <f t="shared" si="7"/>
        <v>54</v>
      </c>
      <c r="B71" s="340">
        <f t="shared" si="13"/>
        <v>47908</v>
      </c>
      <c r="C71" s="336">
        <f t="shared" ca="1" si="8"/>
        <v>16196328.814300001</v>
      </c>
      <c r="D71" s="335"/>
      <c r="E71" s="336">
        <f t="shared" ca="1" si="20"/>
        <v>735763</v>
      </c>
      <c r="F71" s="336">
        <f t="shared" ca="1" si="2"/>
        <v>671343.97600000002</v>
      </c>
      <c r="G71" s="336">
        <f t="shared" ca="1" si="10"/>
        <v>64419.023999999998</v>
      </c>
      <c r="H71" s="336">
        <f t="shared" ca="1" si="11"/>
        <v>15524984.838300001</v>
      </c>
      <c r="I71" s="337">
        <f t="shared" ca="1" si="3"/>
        <v>-15524985</v>
      </c>
      <c r="O71" s="1"/>
      <c r="P71" s="1"/>
      <c r="Q71" s="1"/>
      <c r="R71" s="1"/>
      <c r="S71" s="1"/>
      <c r="T71" s="1"/>
      <c r="U71" s="1"/>
      <c r="V71" s="1"/>
    </row>
    <row r="72" spans="1:22">
      <c r="A72" s="335">
        <f t="shared" si="7"/>
        <v>55</v>
      </c>
      <c r="B72" s="340">
        <f t="shared" si="13"/>
        <v>47939</v>
      </c>
      <c r="C72" s="336">
        <f t="shared" ca="1" si="8"/>
        <v>15524984.838300001</v>
      </c>
      <c r="D72" s="335"/>
      <c r="E72" s="336">
        <f t="shared" si="20"/>
        <v>0</v>
      </c>
      <c r="F72" s="336">
        <f t="shared" ca="1" si="2"/>
        <v>-64687.436999999998</v>
      </c>
      <c r="G72" s="336">
        <f t="shared" ca="1" si="10"/>
        <v>64687.436999999998</v>
      </c>
      <c r="H72" s="336">
        <f t="shared" ca="1" si="11"/>
        <v>15589672.2753</v>
      </c>
      <c r="I72" s="337">
        <f t="shared" ca="1" si="3"/>
        <v>-15589672</v>
      </c>
      <c r="O72" s="1"/>
      <c r="P72" s="1"/>
      <c r="Q72" s="1"/>
      <c r="R72" s="1"/>
      <c r="S72" s="1"/>
      <c r="T72" s="1"/>
      <c r="U72" s="1"/>
      <c r="V72" s="1"/>
    </row>
    <row r="73" spans="1:22">
      <c r="A73" s="335">
        <f t="shared" si="7"/>
        <v>56</v>
      </c>
      <c r="B73" s="340">
        <f t="shared" si="13"/>
        <v>47969</v>
      </c>
      <c r="C73" s="336">
        <f t="shared" ca="1" si="8"/>
        <v>15589672.2753</v>
      </c>
      <c r="D73" s="335"/>
      <c r="E73" s="336">
        <f t="shared" si="20"/>
        <v>0</v>
      </c>
      <c r="F73" s="336">
        <f t="shared" ca="1" si="2"/>
        <v>-64956.968000000001</v>
      </c>
      <c r="G73" s="336">
        <f t="shared" ca="1" si="10"/>
        <v>64956.968000000001</v>
      </c>
      <c r="H73" s="336">
        <f t="shared" ca="1" si="11"/>
        <v>15654629.2433</v>
      </c>
      <c r="I73" s="337">
        <f t="shared" ca="1" si="3"/>
        <v>-15654629</v>
      </c>
      <c r="O73" s="1"/>
      <c r="P73" s="1"/>
      <c r="Q73" s="1"/>
    </row>
    <row r="74" spans="1:22">
      <c r="A74" s="335">
        <f t="shared" si="7"/>
        <v>57</v>
      </c>
      <c r="B74" s="340">
        <f t="shared" si="13"/>
        <v>48000</v>
      </c>
      <c r="C74" s="336">
        <f t="shared" ca="1" si="8"/>
        <v>15654629.2433</v>
      </c>
      <c r="D74" s="335"/>
      <c r="E74" s="336">
        <f t="shared" si="20"/>
        <v>0</v>
      </c>
      <c r="F74" s="336">
        <f t="shared" ca="1" si="2"/>
        <v>-65227.622000000003</v>
      </c>
      <c r="G74" s="336">
        <f t="shared" ca="1" si="10"/>
        <v>65227.622000000003</v>
      </c>
      <c r="H74" s="336">
        <f t="shared" ca="1" si="11"/>
        <v>15719856.8653</v>
      </c>
      <c r="I74" s="337">
        <f t="shared" ca="1" si="3"/>
        <v>-15719857</v>
      </c>
    </row>
    <row r="75" spans="1:22">
      <c r="A75" s="335">
        <f t="shared" si="7"/>
        <v>58</v>
      </c>
      <c r="B75" s="340">
        <f t="shared" si="13"/>
        <v>48030</v>
      </c>
      <c r="C75" s="336">
        <f t="shared" ca="1" si="8"/>
        <v>15719856.8653</v>
      </c>
      <c r="D75" s="335"/>
      <c r="E75" s="336">
        <f t="shared" si="20"/>
        <v>0</v>
      </c>
      <c r="F75" s="336">
        <f t="shared" ca="1" si="2"/>
        <v>-65499.404000000002</v>
      </c>
      <c r="G75" s="336">
        <f t="shared" ca="1" si="10"/>
        <v>65499.404000000002</v>
      </c>
      <c r="H75" s="336">
        <f t="shared" ca="1" si="11"/>
        <v>15785356.269300001</v>
      </c>
      <c r="I75" s="337">
        <f t="shared" ca="1" si="3"/>
        <v>-15785356</v>
      </c>
    </row>
    <row r="76" spans="1:22">
      <c r="A76" s="335">
        <f t="shared" si="7"/>
        <v>59</v>
      </c>
      <c r="B76" s="340">
        <f t="shared" si="13"/>
        <v>48061</v>
      </c>
      <c r="C76" s="336">
        <f t="shared" ca="1" si="8"/>
        <v>15785356.269300001</v>
      </c>
      <c r="D76" s="335"/>
      <c r="E76" s="336">
        <f t="shared" si="20"/>
        <v>0</v>
      </c>
      <c r="F76" s="336">
        <f t="shared" ca="1" si="2"/>
        <v>-65772.317999999999</v>
      </c>
      <c r="G76" s="336">
        <f t="shared" ca="1" si="10"/>
        <v>65772.317999999999</v>
      </c>
      <c r="H76" s="336">
        <f t="shared" ca="1" si="11"/>
        <v>15851128.587300001</v>
      </c>
      <c r="I76" s="337">
        <f t="shared" ca="1" si="3"/>
        <v>-15851129</v>
      </c>
    </row>
    <row r="77" spans="1:22">
      <c r="A77" s="335">
        <f t="shared" si="7"/>
        <v>60</v>
      </c>
      <c r="B77" s="340">
        <f t="shared" si="13"/>
        <v>48092</v>
      </c>
      <c r="C77" s="336">
        <f t="shared" ca="1" si="8"/>
        <v>15851128.587300001</v>
      </c>
      <c r="D77" s="336">
        <f ca="1">IF(H77&lt;0,0,0.5*(K22-L22))</f>
        <v>750623</v>
      </c>
      <c r="E77" s="336">
        <f t="shared" ca="1" si="20"/>
        <v>735763</v>
      </c>
      <c r="F77" s="336">
        <f t="shared" ca="1" si="2"/>
        <v>672782.31</v>
      </c>
      <c r="G77" s="336">
        <f t="shared" ca="1" si="10"/>
        <v>62980.69</v>
      </c>
      <c r="H77" s="336">
        <f t="shared" ca="1" si="11"/>
        <v>15178346.2773</v>
      </c>
      <c r="I77" s="337">
        <f t="shared" ca="1" si="3"/>
        <v>-14427723</v>
      </c>
    </row>
    <row r="78" spans="1:22">
      <c r="A78" s="335">
        <f t="shared" si="7"/>
        <v>61</v>
      </c>
      <c r="B78" s="340">
        <f t="shared" si="13"/>
        <v>48122</v>
      </c>
      <c r="C78" s="336">
        <f t="shared" ca="1" si="8"/>
        <v>15178346.2773</v>
      </c>
      <c r="D78" s="336"/>
      <c r="E78" s="336">
        <f t="shared" ref="E78:E89" si="21">IF($D$10=1,IF(OR(MONTH(B78)=MONTH(EDATE($D$7,0)),MONTH(B78)=MONTH(EDATE($D$7,6))),(MIN($D$77,H77)),0),IF($D$10=0,IF(OR(MONTH(B78)=MONTH(EDATE($D$7,5)),MONTH(B78)=MONTH(EDATE($D$7,11))),(MIN($D$77,H77)),0)))</f>
        <v>0</v>
      </c>
      <c r="F78" s="336">
        <f t="shared" ca="1" si="2"/>
        <v>-63243.108999999997</v>
      </c>
      <c r="G78" s="336">
        <f t="shared" ca="1" si="10"/>
        <v>63243.108999999997</v>
      </c>
      <c r="H78" s="336">
        <f t="shared" ca="1" si="11"/>
        <v>15241589.386299999</v>
      </c>
      <c r="I78" s="337">
        <f t="shared" ca="1" si="3"/>
        <v>-15241589</v>
      </c>
    </row>
    <row r="79" spans="1:22">
      <c r="A79" s="335">
        <f t="shared" si="7"/>
        <v>62</v>
      </c>
      <c r="B79" s="340">
        <f t="shared" si="13"/>
        <v>48153</v>
      </c>
      <c r="C79" s="336">
        <f t="shared" ca="1" si="8"/>
        <v>15241589.386299999</v>
      </c>
      <c r="D79" s="336"/>
      <c r="E79" s="336">
        <f t="shared" si="21"/>
        <v>0</v>
      </c>
      <c r="F79" s="336">
        <f t="shared" ca="1" si="2"/>
        <v>-63506.622000000003</v>
      </c>
      <c r="G79" s="336">
        <f t="shared" ca="1" si="10"/>
        <v>63506.622000000003</v>
      </c>
      <c r="H79" s="336">
        <f t="shared" ca="1" si="11"/>
        <v>15305096.008300001</v>
      </c>
      <c r="I79" s="337">
        <f t="shared" ca="1" si="3"/>
        <v>-15305096</v>
      </c>
    </row>
    <row r="80" spans="1:22">
      <c r="A80" s="335">
        <f t="shared" si="7"/>
        <v>63</v>
      </c>
      <c r="B80" s="340">
        <f t="shared" si="13"/>
        <v>48183</v>
      </c>
      <c r="C80" s="336">
        <f t="shared" ca="1" si="8"/>
        <v>15305096.008300001</v>
      </c>
      <c r="D80" s="335"/>
      <c r="E80" s="336">
        <f t="shared" si="21"/>
        <v>0</v>
      </c>
      <c r="F80" s="336">
        <f t="shared" ca="1" si="2"/>
        <v>-63771.233</v>
      </c>
      <c r="G80" s="336">
        <f t="shared" ca="1" si="10"/>
        <v>63771.233</v>
      </c>
      <c r="H80" s="336">
        <f t="shared" ca="1" si="11"/>
        <v>15368867.2413</v>
      </c>
      <c r="I80" s="337">
        <f t="shared" ca="1" si="3"/>
        <v>-15368867</v>
      </c>
    </row>
    <row r="81" spans="1:9">
      <c r="A81" s="335">
        <f t="shared" si="7"/>
        <v>64</v>
      </c>
      <c r="B81" s="340">
        <f t="shared" si="13"/>
        <v>48214</v>
      </c>
      <c r="C81" s="336">
        <f t="shared" ca="1" si="8"/>
        <v>15368867.2413</v>
      </c>
      <c r="D81" s="335"/>
      <c r="E81" s="336">
        <f t="shared" si="21"/>
        <v>0</v>
      </c>
      <c r="F81" s="336">
        <f t="shared" ca="1" si="2"/>
        <v>-64036.947</v>
      </c>
      <c r="G81" s="336">
        <f t="shared" ca="1" si="10"/>
        <v>64036.947</v>
      </c>
      <c r="H81" s="336">
        <f t="shared" ca="1" si="11"/>
        <v>15432904.188300001</v>
      </c>
      <c r="I81" s="337">
        <f t="shared" ca="1" si="3"/>
        <v>-15432904</v>
      </c>
    </row>
    <row r="82" spans="1:9">
      <c r="A82" s="335">
        <f t="shared" si="7"/>
        <v>65</v>
      </c>
      <c r="B82" s="340">
        <f t="shared" si="13"/>
        <v>48245</v>
      </c>
      <c r="C82" s="336">
        <f t="shared" ca="1" si="8"/>
        <v>15432904.188300001</v>
      </c>
      <c r="D82" s="335"/>
      <c r="E82" s="336">
        <f t="shared" si="21"/>
        <v>0</v>
      </c>
      <c r="F82" s="336">
        <f t="shared" ref="F82:F145" ca="1" si="22">IF(E82="","",E82-G82)</f>
        <v>-64303.767</v>
      </c>
      <c r="G82" s="336">
        <f t="shared" ca="1" si="10"/>
        <v>64303.767</v>
      </c>
      <c r="H82" s="336">
        <f t="shared" ca="1" si="11"/>
        <v>15497207.9553</v>
      </c>
      <c r="I82" s="337">
        <f t="shared" ref="I82:I145" ca="1" si="23">ROUND((D82-H82),0)</f>
        <v>-15497208</v>
      </c>
    </row>
    <row r="83" spans="1:9">
      <c r="A83" s="335">
        <f t="shared" ref="A83:A146" si="24">IF(A82="","",IF(A82=$D$6,"",A82+1))</f>
        <v>66</v>
      </c>
      <c r="B83" s="340">
        <f t="shared" si="13"/>
        <v>48274</v>
      </c>
      <c r="C83" s="336">
        <f t="shared" ref="C83:C146" ca="1" si="25">IF(H82=0,0,H82)</f>
        <v>15497207.9553</v>
      </c>
      <c r="D83" s="335"/>
      <c r="E83" s="336">
        <f t="shared" ca="1" si="21"/>
        <v>750623</v>
      </c>
      <c r="F83" s="336">
        <f t="shared" ca="1" si="22"/>
        <v>689178.89599999995</v>
      </c>
      <c r="G83" s="336">
        <f t="shared" ref="G83:G146" ca="1" si="26">ROUND((C83-E83)*$D$5,3)</f>
        <v>61444.103999999999</v>
      </c>
      <c r="H83" s="336">
        <f t="shared" ref="H83:H146" ca="1" si="27">IF(E83="","",ROUND(H82-F83,4))</f>
        <v>14808029.0593</v>
      </c>
      <c r="I83" s="337">
        <f t="shared" ca="1" si="23"/>
        <v>-14808029</v>
      </c>
    </row>
    <row r="84" spans="1:9">
      <c r="A84" s="335">
        <f t="shared" si="24"/>
        <v>67</v>
      </c>
      <c r="B84" s="340">
        <f t="shared" ref="B84:B147" si="28">DATE(YEAR(B83),MONTH(B83)+1,1)</f>
        <v>48305</v>
      </c>
      <c r="C84" s="336">
        <f t="shared" ca="1" si="25"/>
        <v>14808029.0593</v>
      </c>
      <c r="D84" s="335"/>
      <c r="E84" s="336">
        <f t="shared" si="21"/>
        <v>0</v>
      </c>
      <c r="F84" s="336">
        <f t="shared" ca="1" si="22"/>
        <v>-61700.120999999999</v>
      </c>
      <c r="G84" s="336">
        <f t="shared" ca="1" si="26"/>
        <v>61700.120999999999</v>
      </c>
      <c r="H84" s="336">
        <f t="shared" ca="1" si="27"/>
        <v>14869729.180299999</v>
      </c>
      <c r="I84" s="337">
        <f t="shared" ca="1" si="23"/>
        <v>-14869729</v>
      </c>
    </row>
    <row r="85" spans="1:9">
      <c r="A85" s="335">
        <f t="shared" si="24"/>
        <v>68</v>
      </c>
      <c r="B85" s="340">
        <f t="shared" si="28"/>
        <v>48335</v>
      </c>
      <c r="C85" s="336">
        <f t="shared" ca="1" si="25"/>
        <v>14869729.180299999</v>
      </c>
      <c r="D85" s="335"/>
      <c r="E85" s="336">
        <f t="shared" si="21"/>
        <v>0</v>
      </c>
      <c r="F85" s="336">
        <f t="shared" ca="1" si="22"/>
        <v>-61957.205000000002</v>
      </c>
      <c r="G85" s="336">
        <f t="shared" ca="1" si="26"/>
        <v>61957.205000000002</v>
      </c>
      <c r="H85" s="336">
        <f t="shared" ca="1" si="27"/>
        <v>14931686.385299999</v>
      </c>
      <c r="I85" s="337">
        <f t="shared" ca="1" si="23"/>
        <v>-14931686</v>
      </c>
    </row>
    <row r="86" spans="1:9">
      <c r="A86" s="335">
        <f t="shared" si="24"/>
        <v>69</v>
      </c>
      <c r="B86" s="340">
        <f t="shared" si="28"/>
        <v>48366</v>
      </c>
      <c r="C86" s="336">
        <f t="shared" ca="1" si="25"/>
        <v>14931686.385299999</v>
      </c>
      <c r="D86" s="335"/>
      <c r="E86" s="336">
        <f t="shared" si="21"/>
        <v>0</v>
      </c>
      <c r="F86" s="336">
        <f t="shared" ca="1" si="22"/>
        <v>-62215.360000000001</v>
      </c>
      <c r="G86" s="336">
        <f t="shared" ca="1" si="26"/>
        <v>62215.360000000001</v>
      </c>
      <c r="H86" s="336">
        <f t="shared" ca="1" si="27"/>
        <v>14993901.745300001</v>
      </c>
      <c r="I86" s="337">
        <f t="shared" ca="1" si="23"/>
        <v>-14993902</v>
      </c>
    </row>
    <row r="87" spans="1:9">
      <c r="A87" s="335">
        <f t="shared" si="24"/>
        <v>70</v>
      </c>
      <c r="B87" s="340">
        <f t="shared" si="28"/>
        <v>48396</v>
      </c>
      <c r="C87" s="336">
        <f t="shared" ca="1" si="25"/>
        <v>14993901.745300001</v>
      </c>
      <c r="D87" s="335"/>
      <c r="E87" s="336">
        <f t="shared" si="21"/>
        <v>0</v>
      </c>
      <c r="F87" s="336">
        <f t="shared" ca="1" si="22"/>
        <v>-62474.591</v>
      </c>
      <c r="G87" s="336">
        <f t="shared" ca="1" si="26"/>
        <v>62474.591</v>
      </c>
      <c r="H87" s="336">
        <f t="shared" ca="1" si="27"/>
        <v>15056376.336300001</v>
      </c>
      <c r="I87" s="337">
        <f t="shared" ca="1" si="23"/>
        <v>-15056376</v>
      </c>
    </row>
    <row r="88" spans="1:9">
      <c r="A88" s="335">
        <f t="shared" si="24"/>
        <v>71</v>
      </c>
      <c r="B88" s="340">
        <f t="shared" si="28"/>
        <v>48427</v>
      </c>
      <c r="C88" s="336">
        <f t="shared" ca="1" si="25"/>
        <v>15056376.336300001</v>
      </c>
      <c r="D88" s="335"/>
      <c r="E88" s="336">
        <f t="shared" si="21"/>
        <v>0</v>
      </c>
      <c r="F88" s="336">
        <f t="shared" ca="1" si="22"/>
        <v>-62734.900999999998</v>
      </c>
      <c r="G88" s="336">
        <f t="shared" ca="1" si="26"/>
        <v>62734.900999999998</v>
      </c>
      <c r="H88" s="336">
        <f t="shared" ca="1" si="27"/>
        <v>15119111.237299999</v>
      </c>
      <c r="I88" s="337">
        <f t="shared" ca="1" si="23"/>
        <v>-15119111</v>
      </c>
    </row>
    <row r="89" spans="1:9">
      <c r="A89" s="335">
        <f t="shared" si="24"/>
        <v>72</v>
      </c>
      <c r="B89" s="340">
        <f t="shared" si="28"/>
        <v>48458</v>
      </c>
      <c r="C89" s="336">
        <f t="shared" ca="1" si="25"/>
        <v>15119111.237299999</v>
      </c>
      <c r="D89" s="336">
        <f ca="1">IF(H89&lt;0,0,0.5*(K23-L23))</f>
        <v>765864</v>
      </c>
      <c r="E89" s="336">
        <f t="shared" ca="1" si="21"/>
        <v>750623</v>
      </c>
      <c r="F89" s="336">
        <f t="shared" ca="1" si="22"/>
        <v>690754.299</v>
      </c>
      <c r="G89" s="336">
        <f t="shared" ca="1" si="26"/>
        <v>59868.701000000001</v>
      </c>
      <c r="H89" s="336">
        <f t="shared" ca="1" si="27"/>
        <v>14428356.938300001</v>
      </c>
      <c r="I89" s="337">
        <f t="shared" ca="1" si="23"/>
        <v>-13662493</v>
      </c>
    </row>
    <row r="90" spans="1:9">
      <c r="A90" s="335">
        <f t="shared" si="24"/>
        <v>73</v>
      </c>
      <c r="B90" s="340">
        <f t="shared" si="28"/>
        <v>48488</v>
      </c>
      <c r="C90" s="336">
        <f t="shared" ca="1" si="25"/>
        <v>14428356.938300001</v>
      </c>
      <c r="D90" s="336"/>
      <c r="E90" s="336">
        <f t="shared" ref="E90:E101" si="29">IF($D$10=1,IF(OR(MONTH(B90)=MONTH(EDATE($D$7,0)),MONTH(B90)=MONTH(EDATE($D$7,6))),(MIN($D$89,H89)),0),IF($D$10=0,IF(OR(MONTH(B90)=MONTH(EDATE($D$7,5)),MONTH(B90)=MONTH(EDATE($D$7,11))),(MIN($D$89,H89)),0)))</f>
        <v>0</v>
      </c>
      <c r="F90" s="336">
        <f t="shared" ca="1" si="22"/>
        <v>-60118.154000000002</v>
      </c>
      <c r="G90" s="336">
        <f t="shared" ca="1" si="26"/>
        <v>60118.154000000002</v>
      </c>
      <c r="H90" s="336">
        <f t="shared" ca="1" si="27"/>
        <v>14488475.0923</v>
      </c>
      <c r="I90" s="337">
        <f t="shared" ca="1" si="23"/>
        <v>-14488475</v>
      </c>
    </row>
    <row r="91" spans="1:9">
      <c r="A91" s="335">
        <f t="shared" si="24"/>
        <v>74</v>
      </c>
      <c r="B91" s="340">
        <f t="shared" si="28"/>
        <v>48519</v>
      </c>
      <c r="C91" s="336">
        <f t="shared" ca="1" si="25"/>
        <v>14488475.0923</v>
      </c>
      <c r="D91" s="336"/>
      <c r="E91" s="336">
        <f t="shared" si="29"/>
        <v>0</v>
      </c>
      <c r="F91" s="336">
        <f t="shared" ca="1" si="22"/>
        <v>-60368.646000000001</v>
      </c>
      <c r="G91" s="336">
        <f t="shared" ca="1" si="26"/>
        <v>60368.646000000001</v>
      </c>
      <c r="H91" s="336">
        <f t="shared" ca="1" si="27"/>
        <v>14548843.738299999</v>
      </c>
      <c r="I91" s="337">
        <f t="shared" ca="1" si="23"/>
        <v>-14548844</v>
      </c>
    </row>
    <row r="92" spans="1:9">
      <c r="A92" s="335">
        <f t="shared" si="24"/>
        <v>75</v>
      </c>
      <c r="B92" s="340">
        <f t="shared" si="28"/>
        <v>48549</v>
      </c>
      <c r="C92" s="336">
        <f t="shared" ca="1" si="25"/>
        <v>14548843.738299999</v>
      </c>
      <c r="D92" s="335"/>
      <c r="E92" s="336">
        <f t="shared" si="29"/>
        <v>0</v>
      </c>
      <c r="F92" s="336">
        <f t="shared" ca="1" si="22"/>
        <v>-60620.182000000001</v>
      </c>
      <c r="G92" s="336">
        <f t="shared" ca="1" si="26"/>
        <v>60620.182000000001</v>
      </c>
      <c r="H92" s="336">
        <f t="shared" ca="1" si="27"/>
        <v>14609463.920299999</v>
      </c>
      <c r="I92" s="337">
        <f t="shared" ca="1" si="23"/>
        <v>-14609464</v>
      </c>
    </row>
    <row r="93" spans="1:9">
      <c r="A93" s="335">
        <f t="shared" si="24"/>
        <v>76</v>
      </c>
      <c r="B93" s="340">
        <f t="shared" si="28"/>
        <v>48580</v>
      </c>
      <c r="C93" s="336">
        <f t="shared" ca="1" si="25"/>
        <v>14609463.920299999</v>
      </c>
      <c r="D93" s="335"/>
      <c r="E93" s="336">
        <f t="shared" si="29"/>
        <v>0</v>
      </c>
      <c r="F93" s="336">
        <f t="shared" ca="1" si="22"/>
        <v>-60872.766000000003</v>
      </c>
      <c r="G93" s="336">
        <f t="shared" ca="1" si="26"/>
        <v>60872.766000000003</v>
      </c>
      <c r="H93" s="336">
        <f t="shared" ca="1" si="27"/>
        <v>14670336.6863</v>
      </c>
      <c r="I93" s="337">
        <f t="shared" ca="1" si="23"/>
        <v>-14670337</v>
      </c>
    </row>
    <row r="94" spans="1:9">
      <c r="A94" s="335">
        <f t="shared" si="24"/>
        <v>77</v>
      </c>
      <c r="B94" s="340">
        <f t="shared" si="28"/>
        <v>48611</v>
      </c>
      <c r="C94" s="336">
        <f t="shared" ca="1" si="25"/>
        <v>14670336.6863</v>
      </c>
      <c r="D94" s="335"/>
      <c r="E94" s="336">
        <f t="shared" si="29"/>
        <v>0</v>
      </c>
      <c r="F94" s="336">
        <f t="shared" ca="1" si="22"/>
        <v>-61126.402999999998</v>
      </c>
      <c r="G94" s="336">
        <f t="shared" ca="1" si="26"/>
        <v>61126.402999999998</v>
      </c>
      <c r="H94" s="336">
        <f t="shared" ca="1" si="27"/>
        <v>14731463.089299999</v>
      </c>
      <c r="I94" s="337">
        <f t="shared" ca="1" si="23"/>
        <v>-14731463</v>
      </c>
    </row>
    <row r="95" spans="1:9">
      <c r="A95" s="335">
        <f t="shared" si="24"/>
        <v>78</v>
      </c>
      <c r="B95" s="340">
        <f t="shared" si="28"/>
        <v>48639</v>
      </c>
      <c r="C95" s="336">
        <f t="shared" ca="1" si="25"/>
        <v>14731463.089299999</v>
      </c>
      <c r="D95" s="335"/>
      <c r="E95" s="336">
        <f t="shared" ca="1" si="29"/>
        <v>765864</v>
      </c>
      <c r="F95" s="336">
        <f t="shared" ca="1" si="22"/>
        <v>707674.00399999996</v>
      </c>
      <c r="G95" s="336">
        <f t="shared" ca="1" si="26"/>
        <v>58189.995999999999</v>
      </c>
      <c r="H95" s="336">
        <f t="shared" ca="1" si="27"/>
        <v>14023789.0853</v>
      </c>
      <c r="I95" s="337">
        <f t="shared" ca="1" si="23"/>
        <v>-14023789</v>
      </c>
    </row>
    <row r="96" spans="1:9">
      <c r="A96" s="335">
        <f t="shared" si="24"/>
        <v>79</v>
      </c>
      <c r="B96" s="340">
        <f t="shared" si="28"/>
        <v>48670</v>
      </c>
      <c r="C96" s="336">
        <f t="shared" ca="1" si="25"/>
        <v>14023789.0853</v>
      </c>
      <c r="D96" s="335"/>
      <c r="E96" s="336">
        <f t="shared" si="29"/>
        <v>0</v>
      </c>
      <c r="F96" s="336">
        <f t="shared" ca="1" si="22"/>
        <v>-58432.455000000002</v>
      </c>
      <c r="G96" s="336">
        <f t="shared" ca="1" si="26"/>
        <v>58432.455000000002</v>
      </c>
      <c r="H96" s="336">
        <f t="shared" ca="1" si="27"/>
        <v>14082221.5403</v>
      </c>
      <c r="I96" s="337">
        <f t="shared" ca="1" si="23"/>
        <v>-14082222</v>
      </c>
    </row>
    <row r="97" spans="1:9">
      <c r="A97" s="335">
        <f t="shared" si="24"/>
        <v>80</v>
      </c>
      <c r="B97" s="340">
        <f t="shared" si="28"/>
        <v>48700</v>
      </c>
      <c r="C97" s="336">
        <f t="shared" ca="1" si="25"/>
        <v>14082221.5403</v>
      </c>
      <c r="D97" s="335"/>
      <c r="E97" s="336">
        <f t="shared" si="29"/>
        <v>0</v>
      </c>
      <c r="F97" s="336">
        <f t="shared" ca="1" si="22"/>
        <v>-58675.923000000003</v>
      </c>
      <c r="G97" s="336">
        <f t="shared" ca="1" si="26"/>
        <v>58675.923000000003</v>
      </c>
      <c r="H97" s="336">
        <f t="shared" ca="1" si="27"/>
        <v>14140897.463300001</v>
      </c>
      <c r="I97" s="337">
        <f t="shared" ca="1" si="23"/>
        <v>-14140897</v>
      </c>
    </row>
    <row r="98" spans="1:9">
      <c r="A98" s="335">
        <f t="shared" si="24"/>
        <v>81</v>
      </c>
      <c r="B98" s="340">
        <f t="shared" si="28"/>
        <v>48731</v>
      </c>
      <c r="C98" s="336">
        <f t="shared" ca="1" si="25"/>
        <v>14140897.463300001</v>
      </c>
      <c r="D98" s="335"/>
      <c r="E98" s="336">
        <f t="shared" si="29"/>
        <v>0</v>
      </c>
      <c r="F98" s="336">
        <f t="shared" ca="1" si="22"/>
        <v>-58920.406000000003</v>
      </c>
      <c r="G98" s="336">
        <f t="shared" ca="1" si="26"/>
        <v>58920.406000000003</v>
      </c>
      <c r="H98" s="336">
        <f t="shared" ca="1" si="27"/>
        <v>14199817.8693</v>
      </c>
      <c r="I98" s="337">
        <f t="shared" ca="1" si="23"/>
        <v>-14199818</v>
      </c>
    </row>
    <row r="99" spans="1:9">
      <c r="A99" s="335">
        <f t="shared" si="24"/>
        <v>82</v>
      </c>
      <c r="B99" s="340">
        <f t="shared" si="28"/>
        <v>48761</v>
      </c>
      <c r="C99" s="336">
        <f t="shared" ca="1" si="25"/>
        <v>14199817.8693</v>
      </c>
      <c r="D99" s="335"/>
      <c r="E99" s="336">
        <f t="shared" si="29"/>
        <v>0</v>
      </c>
      <c r="F99" s="336">
        <f t="shared" ca="1" si="22"/>
        <v>-59165.908000000003</v>
      </c>
      <c r="G99" s="336">
        <f t="shared" ca="1" si="26"/>
        <v>59165.908000000003</v>
      </c>
      <c r="H99" s="336">
        <f t="shared" ca="1" si="27"/>
        <v>14258983.7773</v>
      </c>
      <c r="I99" s="337">
        <f t="shared" ca="1" si="23"/>
        <v>-14258984</v>
      </c>
    </row>
    <row r="100" spans="1:9">
      <c r="A100" s="335">
        <f t="shared" si="24"/>
        <v>83</v>
      </c>
      <c r="B100" s="340">
        <f t="shared" si="28"/>
        <v>48792</v>
      </c>
      <c r="C100" s="336">
        <f t="shared" ca="1" si="25"/>
        <v>14258983.7773</v>
      </c>
      <c r="D100" s="335"/>
      <c r="E100" s="336">
        <f t="shared" si="29"/>
        <v>0</v>
      </c>
      <c r="F100" s="336">
        <f t="shared" ca="1" si="22"/>
        <v>-59412.432000000001</v>
      </c>
      <c r="G100" s="336">
        <f t="shared" ca="1" si="26"/>
        <v>59412.432000000001</v>
      </c>
      <c r="H100" s="336">
        <f t="shared" ca="1" si="27"/>
        <v>14318396.2093</v>
      </c>
      <c r="I100" s="337">
        <f t="shared" ca="1" si="23"/>
        <v>-14318396</v>
      </c>
    </row>
    <row r="101" spans="1:9">
      <c r="A101" s="335">
        <f t="shared" si="24"/>
        <v>84</v>
      </c>
      <c r="B101" s="340">
        <f t="shared" si="28"/>
        <v>48823</v>
      </c>
      <c r="C101" s="336">
        <f t="shared" ca="1" si="25"/>
        <v>14318396.2093</v>
      </c>
      <c r="D101" s="336">
        <f ca="1">IF(H101&lt;0,0,0.5*(K24-L24))</f>
        <v>781497</v>
      </c>
      <c r="E101" s="336">
        <f t="shared" ca="1" si="29"/>
        <v>765864</v>
      </c>
      <c r="F101" s="336">
        <f t="shared" ca="1" si="22"/>
        <v>709395.11600000004</v>
      </c>
      <c r="G101" s="336">
        <f t="shared" ca="1" si="26"/>
        <v>56468.883999999998</v>
      </c>
      <c r="H101" s="336">
        <f t="shared" ca="1" si="27"/>
        <v>13609001.0933</v>
      </c>
      <c r="I101" s="337">
        <f t="shared" ca="1" si="23"/>
        <v>-12827504</v>
      </c>
    </row>
    <row r="102" spans="1:9">
      <c r="A102" s="335">
        <f t="shared" si="24"/>
        <v>85</v>
      </c>
      <c r="B102" s="340">
        <f t="shared" si="28"/>
        <v>48853</v>
      </c>
      <c r="C102" s="336">
        <f t="shared" ca="1" si="25"/>
        <v>13609001.0933</v>
      </c>
      <c r="D102" s="336"/>
      <c r="E102" s="336">
        <f t="shared" ref="E102:E113" si="30">IF($D$10=1,IF(OR(MONTH(B102)=MONTH(EDATE($D$7,0)),MONTH(B102)=MONTH(EDATE($D$7,6))),(MIN($D$101,H101)),0),IF($D$10=0,IF(OR(MONTH(B102)=MONTH(EDATE($D$7,5)),MONTH(B102)=MONTH(EDATE($D$7,11))),(MIN($D$101,H101)),0)))</f>
        <v>0</v>
      </c>
      <c r="F102" s="336">
        <f t="shared" ca="1" si="22"/>
        <v>-56704.171000000002</v>
      </c>
      <c r="G102" s="336">
        <f t="shared" ca="1" si="26"/>
        <v>56704.171000000002</v>
      </c>
      <c r="H102" s="336">
        <f t="shared" ca="1" si="27"/>
        <v>13665705.2643</v>
      </c>
      <c r="I102" s="337">
        <f t="shared" ca="1" si="23"/>
        <v>-13665705</v>
      </c>
    </row>
    <row r="103" spans="1:9">
      <c r="A103" s="335">
        <f t="shared" si="24"/>
        <v>86</v>
      </c>
      <c r="B103" s="340">
        <f t="shared" si="28"/>
        <v>48884</v>
      </c>
      <c r="C103" s="336">
        <f t="shared" ca="1" si="25"/>
        <v>13665705.2643</v>
      </c>
      <c r="D103" s="335"/>
      <c r="E103" s="336">
        <f t="shared" si="30"/>
        <v>0</v>
      </c>
      <c r="F103" s="336">
        <f t="shared" ca="1" si="22"/>
        <v>-56940.438999999998</v>
      </c>
      <c r="G103" s="336">
        <f t="shared" ca="1" si="26"/>
        <v>56940.438999999998</v>
      </c>
      <c r="H103" s="336">
        <f t="shared" ca="1" si="27"/>
        <v>13722645.703299999</v>
      </c>
      <c r="I103" s="337">
        <f t="shared" ca="1" si="23"/>
        <v>-13722646</v>
      </c>
    </row>
    <row r="104" spans="1:9">
      <c r="A104" s="335">
        <f t="shared" si="24"/>
        <v>87</v>
      </c>
      <c r="B104" s="340">
        <f t="shared" si="28"/>
        <v>48914</v>
      </c>
      <c r="C104" s="336">
        <f t="shared" ca="1" si="25"/>
        <v>13722645.703299999</v>
      </c>
      <c r="D104" s="335"/>
      <c r="E104" s="336">
        <f t="shared" si="30"/>
        <v>0</v>
      </c>
      <c r="F104" s="336">
        <f t="shared" ca="1" si="22"/>
        <v>-57177.69</v>
      </c>
      <c r="G104" s="336">
        <f t="shared" ca="1" si="26"/>
        <v>57177.69</v>
      </c>
      <c r="H104" s="336">
        <f t="shared" ca="1" si="27"/>
        <v>13779823.393300001</v>
      </c>
      <c r="I104" s="337">
        <f t="shared" ca="1" si="23"/>
        <v>-13779823</v>
      </c>
    </row>
    <row r="105" spans="1:9">
      <c r="A105" s="335">
        <f t="shared" si="24"/>
        <v>88</v>
      </c>
      <c r="B105" s="340">
        <f t="shared" si="28"/>
        <v>48945</v>
      </c>
      <c r="C105" s="336">
        <f t="shared" ca="1" si="25"/>
        <v>13779823.393300001</v>
      </c>
      <c r="D105" s="335"/>
      <c r="E105" s="336">
        <f t="shared" si="30"/>
        <v>0</v>
      </c>
      <c r="F105" s="336">
        <f t="shared" ca="1" si="22"/>
        <v>-57415.930999999997</v>
      </c>
      <c r="G105" s="336">
        <f t="shared" ca="1" si="26"/>
        <v>57415.930999999997</v>
      </c>
      <c r="H105" s="336">
        <f t="shared" ca="1" si="27"/>
        <v>13837239.3243</v>
      </c>
      <c r="I105" s="337">
        <f t="shared" ca="1" si="23"/>
        <v>-13837239</v>
      </c>
    </row>
    <row r="106" spans="1:9">
      <c r="A106" s="335">
        <f t="shared" si="24"/>
        <v>89</v>
      </c>
      <c r="B106" s="340">
        <f t="shared" si="28"/>
        <v>48976</v>
      </c>
      <c r="C106" s="336">
        <f t="shared" ca="1" si="25"/>
        <v>13837239.3243</v>
      </c>
      <c r="D106" s="335"/>
      <c r="E106" s="336">
        <f t="shared" si="30"/>
        <v>0</v>
      </c>
      <c r="F106" s="336">
        <f t="shared" ca="1" si="22"/>
        <v>-57655.163999999997</v>
      </c>
      <c r="G106" s="336">
        <f t="shared" ca="1" si="26"/>
        <v>57655.163999999997</v>
      </c>
      <c r="H106" s="336">
        <f t="shared" ca="1" si="27"/>
        <v>13894894.488299999</v>
      </c>
      <c r="I106" s="337">
        <f t="shared" ca="1" si="23"/>
        <v>-13894894</v>
      </c>
    </row>
    <row r="107" spans="1:9">
      <c r="A107" s="335">
        <f t="shared" si="24"/>
        <v>90</v>
      </c>
      <c r="B107" s="340">
        <f t="shared" si="28"/>
        <v>49004</v>
      </c>
      <c r="C107" s="336">
        <f t="shared" ca="1" si="25"/>
        <v>13894894.488299999</v>
      </c>
      <c r="D107" s="335"/>
      <c r="E107" s="336">
        <f t="shared" ca="1" si="30"/>
        <v>781497</v>
      </c>
      <c r="F107" s="336">
        <f t="shared" ca="1" si="22"/>
        <v>726857.84400000004</v>
      </c>
      <c r="G107" s="336">
        <f t="shared" ca="1" si="26"/>
        <v>54639.156000000003</v>
      </c>
      <c r="H107" s="336">
        <f t="shared" ca="1" si="27"/>
        <v>13168036.644300001</v>
      </c>
      <c r="I107" s="337">
        <f t="shared" ca="1" si="23"/>
        <v>-13168037</v>
      </c>
    </row>
    <row r="108" spans="1:9">
      <c r="A108" s="335">
        <f t="shared" si="24"/>
        <v>91</v>
      </c>
      <c r="B108" s="340">
        <f t="shared" si="28"/>
        <v>49035</v>
      </c>
      <c r="C108" s="336">
        <f t="shared" ca="1" si="25"/>
        <v>13168036.644300001</v>
      </c>
      <c r="D108" s="335"/>
      <c r="E108" s="336">
        <f t="shared" si="30"/>
        <v>0</v>
      </c>
      <c r="F108" s="336">
        <f t="shared" ca="1" si="22"/>
        <v>-54866.819000000003</v>
      </c>
      <c r="G108" s="336">
        <f t="shared" ca="1" si="26"/>
        <v>54866.819000000003</v>
      </c>
      <c r="H108" s="336">
        <f t="shared" ca="1" si="27"/>
        <v>13222903.463300001</v>
      </c>
      <c r="I108" s="337">
        <f t="shared" ca="1" si="23"/>
        <v>-13222903</v>
      </c>
    </row>
    <row r="109" spans="1:9">
      <c r="A109" s="335">
        <f t="shared" si="24"/>
        <v>92</v>
      </c>
      <c r="B109" s="340">
        <f t="shared" si="28"/>
        <v>49065</v>
      </c>
      <c r="C109" s="336">
        <f t="shared" ca="1" si="25"/>
        <v>13222903.463300001</v>
      </c>
      <c r="D109" s="335"/>
      <c r="E109" s="336">
        <f t="shared" si="30"/>
        <v>0</v>
      </c>
      <c r="F109" s="336">
        <f t="shared" ca="1" si="22"/>
        <v>-55095.430999999997</v>
      </c>
      <c r="G109" s="336">
        <f t="shared" ca="1" si="26"/>
        <v>55095.430999999997</v>
      </c>
      <c r="H109" s="336">
        <f t="shared" ca="1" si="27"/>
        <v>13277998.894300001</v>
      </c>
      <c r="I109" s="337">
        <f t="shared" ca="1" si="23"/>
        <v>-13277999</v>
      </c>
    </row>
    <row r="110" spans="1:9">
      <c r="A110" s="335">
        <f t="shared" si="24"/>
        <v>93</v>
      </c>
      <c r="B110" s="340">
        <f t="shared" si="28"/>
        <v>49096</v>
      </c>
      <c r="C110" s="336">
        <f t="shared" ca="1" si="25"/>
        <v>13277998.894300001</v>
      </c>
      <c r="D110" s="335"/>
      <c r="E110" s="336">
        <f t="shared" si="30"/>
        <v>0</v>
      </c>
      <c r="F110" s="336">
        <f t="shared" ca="1" si="22"/>
        <v>-55324.995000000003</v>
      </c>
      <c r="G110" s="336">
        <f t="shared" ca="1" si="26"/>
        <v>55324.995000000003</v>
      </c>
      <c r="H110" s="336">
        <f t="shared" ca="1" si="27"/>
        <v>13333323.8893</v>
      </c>
      <c r="I110" s="337">
        <f t="shared" ca="1" si="23"/>
        <v>-13333324</v>
      </c>
    </row>
    <row r="111" spans="1:9">
      <c r="A111" s="335">
        <f t="shared" si="24"/>
        <v>94</v>
      </c>
      <c r="B111" s="340">
        <f t="shared" si="28"/>
        <v>49126</v>
      </c>
      <c r="C111" s="336">
        <f t="shared" ca="1" si="25"/>
        <v>13333323.8893</v>
      </c>
      <c r="D111" s="335"/>
      <c r="E111" s="336">
        <f t="shared" si="30"/>
        <v>0</v>
      </c>
      <c r="F111" s="336">
        <f t="shared" ca="1" si="22"/>
        <v>-55555.516000000003</v>
      </c>
      <c r="G111" s="336">
        <f t="shared" ca="1" si="26"/>
        <v>55555.516000000003</v>
      </c>
      <c r="H111" s="336">
        <f t="shared" ca="1" si="27"/>
        <v>13388879.405300001</v>
      </c>
      <c r="I111" s="337">
        <f t="shared" ca="1" si="23"/>
        <v>-13388879</v>
      </c>
    </row>
    <row r="112" spans="1:9">
      <c r="A112" s="335">
        <f t="shared" si="24"/>
        <v>95</v>
      </c>
      <c r="B112" s="340">
        <f t="shared" si="28"/>
        <v>49157</v>
      </c>
      <c r="C112" s="336">
        <f t="shared" ca="1" si="25"/>
        <v>13388879.405300001</v>
      </c>
      <c r="D112" s="335"/>
      <c r="E112" s="336">
        <f t="shared" si="30"/>
        <v>0</v>
      </c>
      <c r="F112" s="336">
        <f t="shared" ca="1" si="22"/>
        <v>-55786.998</v>
      </c>
      <c r="G112" s="336">
        <f t="shared" ca="1" si="26"/>
        <v>55786.998</v>
      </c>
      <c r="H112" s="336">
        <f t="shared" ca="1" si="27"/>
        <v>13444666.4033</v>
      </c>
      <c r="I112" s="337">
        <f t="shared" ca="1" si="23"/>
        <v>-13444666</v>
      </c>
    </row>
    <row r="113" spans="1:9">
      <c r="A113" s="335">
        <f t="shared" si="24"/>
        <v>96</v>
      </c>
      <c r="B113" s="340">
        <f t="shared" si="28"/>
        <v>49188</v>
      </c>
      <c r="C113" s="336">
        <f t="shared" ca="1" si="25"/>
        <v>13444666.4033</v>
      </c>
      <c r="D113" s="336">
        <f ca="1">IF(H113&lt;0,0,0.5*(K25-L25))</f>
        <v>797535</v>
      </c>
      <c r="E113" s="336">
        <f t="shared" ca="1" si="30"/>
        <v>781497</v>
      </c>
      <c r="F113" s="336">
        <f t="shared" ca="1" si="22"/>
        <v>728733.79399999999</v>
      </c>
      <c r="G113" s="336">
        <f t="shared" ca="1" si="26"/>
        <v>52763.205999999998</v>
      </c>
      <c r="H113" s="336">
        <f ca="1">IF(E113="","",ROUND(H112-F113,4))</f>
        <v>12715932.609300001</v>
      </c>
      <c r="I113" s="337">
        <f t="shared" ca="1" si="23"/>
        <v>-11918398</v>
      </c>
    </row>
    <row r="114" spans="1:9">
      <c r="A114" s="335">
        <f t="shared" si="24"/>
        <v>97</v>
      </c>
      <c r="B114" s="340">
        <f t="shared" si="28"/>
        <v>49218</v>
      </c>
      <c r="C114" s="336">
        <f t="shared" ca="1" si="25"/>
        <v>12715932.609300001</v>
      </c>
      <c r="D114" s="336"/>
      <c r="E114" s="336">
        <f t="shared" ref="E114:E125" si="31">IF($D$10=1,IF(OR(MONTH(B114)=MONTH(EDATE($D$7,0)),MONTH(B114)=MONTH(EDATE($D$7,6))),(MIN($D$113,H113)),0),IF($D$10=0,IF(OR(MONTH(B114)=MONTH(EDATE($D$7,5)),MONTH(B114)=MONTH(EDATE($D$7,11))),(MIN($D$113,H113)),0)))</f>
        <v>0</v>
      </c>
      <c r="F114" s="336">
        <f t="shared" ca="1" si="22"/>
        <v>-52983.053</v>
      </c>
      <c r="G114" s="336">
        <f t="shared" ca="1" si="26"/>
        <v>52983.053</v>
      </c>
      <c r="H114" s="336">
        <f ca="1">IF(E114="","",ROUND(H113-F114,4))</f>
        <v>12768915.6623</v>
      </c>
      <c r="I114" s="337">
        <f t="shared" ca="1" si="23"/>
        <v>-12768916</v>
      </c>
    </row>
    <row r="115" spans="1:9">
      <c r="A115" s="335">
        <f t="shared" si="24"/>
        <v>98</v>
      </c>
      <c r="B115" s="340">
        <f t="shared" si="28"/>
        <v>49249</v>
      </c>
      <c r="C115" s="336">
        <f t="shared" ca="1" si="25"/>
        <v>12768915.6623</v>
      </c>
      <c r="D115" s="335"/>
      <c r="E115" s="336">
        <f t="shared" si="31"/>
        <v>0</v>
      </c>
      <c r="F115" s="336">
        <f t="shared" ca="1" si="22"/>
        <v>-53203.815000000002</v>
      </c>
      <c r="G115" s="336">
        <f t="shared" ca="1" si="26"/>
        <v>53203.815000000002</v>
      </c>
      <c r="H115" s="336">
        <f t="shared" ca="1" si="27"/>
        <v>12822119.477299999</v>
      </c>
      <c r="I115" s="337">
        <f t="shared" ca="1" si="23"/>
        <v>-12822119</v>
      </c>
    </row>
    <row r="116" spans="1:9">
      <c r="A116" s="335">
        <f t="shared" si="24"/>
        <v>99</v>
      </c>
      <c r="B116" s="340">
        <f t="shared" si="28"/>
        <v>49279</v>
      </c>
      <c r="C116" s="336">
        <f t="shared" ca="1" si="25"/>
        <v>12822119.477299999</v>
      </c>
      <c r="D116" s="335"/>
      <c r="E116" s="336">
        <f t="shared" si="31"/>
        <v>0</v>
      </c>
      <c r="F116" s="336">
        <f t="shared" ca="1" si="22"/>
        <v>-53425.498</v>
      </c>
      <c r="G116" s="336">
        <f t="shared" ca="1" si="26"/>
        <v>53425.498</v>
      </c>
      <c r="H116" s="336">
        <f t="shared" ca="1" si="27"/>
        <v>12875544.975299999</v>
      </c>
      <c r="I116" s="337">
        <f t="shared" ca="1" si="23"/>
        <v>-12875545</v>
      </c>
    </row>
    <row r="117" spans="1:9">
      <c r="A117" s="335">
        <f t="shared" si="24"/>
        <v>100</v>
      </c>
      <c r="B117" s="340">
        <f t="shared" si="28"/>
        <v>49310</v>
      </c>
      <c r="C117" s="336">
        <f t="shared" ca="1" si="25"/>
        <v>12875544.975299999</v>
      </c>
      <c r="D117" s="335"/>
      <c r="E117" s="336">
        <f t="shared" si="31"/>
        <v>0</v>
      </c>
      <c r="F117" s="336">
        <f t="shared" ca="1" si="22"/>
        <v>-53648.103999999999</v>
      </c>
      <c r="G117" s="336">
        <f t="shared" ca="1" si="26"/>
        <v>53648.103999999999</v>
      </c>
      <c r="H117" s="336">
        <f t="shared" ca="1" si="27"/>
        <v>12929193.079299999</v>
      </c>
      <c r="I117" s="337">
        <f t="shared" ca="1" si="23"/>
        <v>-12929193</v>
      </c>
    </row>
    <row r="118" spans="1:9">
      <c r="A118" s="335">
        <f t="shared" si="24"/>
        <v>101</v>
      </c>
      <c r="B118" s="340">
        <f t="shared" si="28"/>
        <v>49341</v>
      </c>
      <c r="C118" s="336">
        <f t="shared" ca="1" si="25"/>
        <v>12929193.079299999</v>
      </c>
      <c r="D118" s="335"/>
      <c r="E118" s="336">
        <f t="shared" si="31"/>
        <v>0</v>
      </c>
      <c r="F118" s="336">
        <f t="shared" ca="1" si="22"/>
        <v>-53871.637999999999</v>
      </c>
      <c r="G118" s="336">
        <f t="shared" ca="1" si="26"/>
        <v>53871.637999999999</v>
      </c>
      <c r="H118" s="336">
        <f t="shared" ca="1" si="27"/>
        <v>12983064.7173</v>
      </c>
      <c r="I118" s="337">
        <f t="shared" ca="1" si="23"/>
        <v>-12983065</v>
      </c>
    </row>
    <row r="119" spans="1:9">
      <c r="A119" s="335">
        <f t="shared" si="24"/>
        <v>102</v>
      </c>
      <c r="B119" s="340">
        <f t="shared" si="28"/>
        <v>49369</v>
      </c>
      <c r="C119" s="336">
        <f t="shared" ca="1" si="25"/>
        <v>12983064.7173</v>
      </c>
      <c r="D119" s="335"/>
      <c r="E119" s="336">
        <f t="shared" ca="1" si="31"/>
        <v>797535</v>
      </c>
      <c r="F119" s="336">
        <f t="shared" ca="1" si="22"/>
        <v>746761.96</v>
      </c>
      <c r="G119" s="336">
        <f t="shared" ca="1" si="26"/>
        <v>50773.04</v>
      </c>
      <c r="H119" s="336">
        <f t="shared" ca="1" si="27"/>
        <v>12236302.757300001</v>
      </c>
      <c r="I119" s="337">
        <f t="shared" ca="1" si="23"/>
        <v>-12236303</v>
      </c>
    </row>
    <row r="120" spans="1:9">
      <c r="A120" s="335">
        <f t="shared" si="24"/>
        <v>103</v>
      </c>
      <c r="B120" s="340">
        <f t="shared" si="28"/>
        <v>49400</v>
      </c>
      <c r="C120" s="336">
        <f t="shared" ca="1" si="25"/>
        <v>12236302.757300001</v>
      </c>
      <c r="D120" s="335"/>
      <c r="E120" s="336">
        <f t="shared" si="31"/>
        <v>0</v>
      </c>
      <c r="F120" s="336">
        <f t="shared" ca="1" si="22"/>
        <v>-50984.595000000001</v>
      </c>
      <c r="G120" s="336">
        <f t="shared" ca="1" si="26"/>
        <v>50984.595000000001</v>
      </c>
      <c r="H120" s="336">
        <f t="shared" ca="1" si="27"/>
        <v>12287287.352299999</v>
      </c>
      <c r="I120" s="337">
        <f t="shared" ca="1" si="23"/>
        <v>-12287287</v>
      </c>
    </row>
    <row r="121" spans="1:9">
      <c r="A121" s="335">
        <f t="shared" si="24"/>
        <v>104</v>
      </c>
      <c r="B121" s="340">
        <f t="shared" si="28"/>
        <v>49430</v>
      </c>
      <c r="C121" s="336">
        <f t="shared" ca="1" si="25"/>
        <v>12287287.352299999</v>
      </c>
      <c r="D121" s="335"/>
      <c r="E121" s="336">
        <f t="shared" si="31"/>
        <v>0</v>
      </c>
      <c r="F121" s="336">
        <f t="shared" ca="1" si="22"/>
        <v>-51197.031000000003</v>
      </c>
      <c r="G121" s="336">
        <f t="shared" ca="1" si="26"/>
        <v>51197.031000000003</v>
      </c>
      <c r="H121" s="336">
        <f t="shared" ca="1" si="27"/>
        <v>12338484.383300001</v>
      </c>
      <c r="I121" s="337">
        <f t="shared" ca="1" si="23"/>
        <v>-12338484</v>
      </c>
    </row>
    <row r="122" spans="1:9">
      <c r="A122" s="335">
        <f t="shared" si="24"/>
        <v>105</v>
      </c>
      <c r="B122" s="340">
        <f t="shared" si="28"/>
        <v>49461</v>
      </c>
      <c r="C122" s="336">
        <f t="shared" ca="1" si="25"/>
        <v>12338484.383300001</v>
      </c>
      <c r="D122" s="335"/>
      <c r="E122" s="336">
        <f t="shared" si="31"/>
        <v>0</v>
      </c>
      <c r="F122" s="336">
        <f t="shared" ca="1" si="22"/>
        <v>-51410.351999999999</v>
      </c>
      <c r="G122" s="336">
        <f t="shared" ca="1" si="26"/>
        <v>51410.351999999999</v>
      </c>
      <c r="H122" s="336">
        <f t="shared" ca="1" si="27"/>
        <v>12389894.735300001</v>
      </c>
      <c r="I122" s="337">
        <f t="shared" ca="1" si="23"/>
        <v>-12389895</v>
      </c>
    </row>
    <row r="123" spans="1:9">
      <c r="A123" s="335">
        <f t="shared" si="24"/>
        <v>106</v>
      </c>
      <c r="B123" s="340">
        <f t="shared" si="28"/>
        <v>49491</v>
      </c>
      <c r="C123" s="336">
        <f t="shared" ca="1" si="25"/>
        <v>12389894.735300001</v>
      </c>
      <c r="D123" s="335"/>
      <c r="E123" s="336">
        <f t="shared" si="31"/>
        <v>0</v>
      </c>
      <c r="F123" s="336">
        <f t="shared" ca="1" si="22"/>
        <v>-51624.561000000002</v>
      </c>
      <c r="G123" s="336">
        <f t="shared" ca="1" si="26"/>
        <v>51624.561000000002</v>
      </c>
      <c r="H123" s="336">
        <f t="shared" ca="1" si="27"/>
        <v>12441519.2963</v>
      </c>
      <c r="I123" s="337">
        <f t="shared" ca="1" si="23"/>
        <v>-12441519</v>
      </c>
    </row>
    <row r="124" spans="1:9">
      <c r="A124" s="335">
        <f t="shared" si="24"/>
        <v>107</v>
      </c>
      <c r="B124" s="340">
        <f t="shared" si="28"/>
        <v>49522</v>
      </c>
      <c r="C124" s="336">
        <f t="shared" ca="1" si="25"/>
        <v>12441519.2963</v>
      </c>
      <c r="D124" s="335"/>
      <c r="E124" s="336">
        <f t="shared" si="31"/>
        <v>0</v>
      </c>
      <c r="F124" s="336">
        <f t="shared" ca="1" si="22"/>
        <v>-51839.663999999997</v>
      </c>
      <c r="G124" s="336">
        <f t="shared" ca="1" si="26"/>
        <v>51839.663999999997</v>
      </c>
      <c r="H124" s="336">
        <f t="shared" ca="1" si="27"/>
        <v>12493358.9603</v>
      </c>
      <c r="I124" s="337">
        <f t="shared" ca="1" si="23"/>
        <v>-12493359</v>
      </c>
    </row>
    <row r="125" spans="1:9">
      <c r="A125" s="335">
        <f t="shared" si="24"/>
        <v>108</v>
      </c>
      <c r="B125" s="340">
        <f t="shared" si="28"/>
        <v>49553</v>
      </c>
      <c r="C125" s="336">
        <f t="shared" ca="1" si="25"/>
        <v>12493358.9603</v>
      </c>
      <c r="D125" s="336">
        <f ca="1">IF(H125&lt;0,0,0.5*(K26-L26))</f>
        <v>813991</v>
      </c>
      <c r="E125" s="336">
        <f t="shared" ca="1" si="31"/>
        <v>797535</v>
      </c>
      <c r="F125" s="336">
        <f t="shared" ca="1" si="22"/>
        <v>748802.4</v>
      </c>
      <c r="G125" s="336">
        <f t="shared" ca="1" si="26"/>
        <v>48732.6</v>
      </c>
      <c r="H125" s="336">
        <f ca="1">IF(E125="","",ROUND(H124-F125,4))</f>
        <v>11744556.5603</v>
      </c>
      <c r="I125" s="337">
        <f t="shared" ca="1" si="23"/>
        <v>-10930566</v>
      </c>
    </row>
    <row r="126" spans="1:9">
      <c r="A126" s="335">
        <f t="shared" si="24"/>
        <v>109</v>
      </c>
      <c r="B126" s="340">
        <f t="shared" si="28"/>
        <v>49583</v>
      </c>
      <c r="C126" s="336">
        <f t="shared" ca="1" si="25"/>
        <v>11744556.5603</v>
      </c>
      <c r="D126" s="336"/>
      <c r="E126" s="336">
        <f t="shared" ref="E126:E137" si="32">IF($D$10=1,IF(OR(MONTH(B126)=MONTH(EDATE($D$7,0)),MONTH(B126)=MONTH(EDATE($D$7,6))),(MIN($D$125,H125)),0),IF($D$10=0,IF(OR(MONTH(B126)=MONTH(EDATE($D$7,5)),MONTH(B126)=MONTH(EDATE($D$7,11))),(MIN($D$125,H125)),0)))</f>
        <v>0</v>
      </c>
      <c r="F126" s="336">
        <f t="shared" ca="1" si="22"/>
        <v>-48935.652000000002</v>
      </c>
      <c r="G126" s="336">
        <f t="shared" ca="1" si="26"/>
        <v>48935.652000000002</v>
      </c>
      <c r="H126" s="336">
        <f t="shared" ca="1" si="27"/>
        <v>11793492.212300001</v>
      </c>
      <c r="I126" s="337">
        <f t="shared" ca="1" si="23"/>
        <v>-11793492</v>
      </c>
    </row>
    <row r="127" spans="1:9">
      <c r="A127" s="335">
        <f t="shared" si="24"/>
        <v>110</v>
      </c>
      <c r="B127" s="340">
        <f t="shared" si="28"/>
        <v>49614</v>
      </c>
      <c r="C127" s="336">
        <f t="shared" ca="1" si="25"/>
        <v>11793492.212300001</v>
      </c>
      <c r="D127" s="335"/>
      <c r="E127" s="336">
        <f t="shared" si="32"/>
        <v>0</v>
      </c>
      <c r="F127" s="336">
        <f t="shared" ca="1" si="22"/>
        <v>-49139.550999999999</v>
      </c>
      <c r="G127" s="336">
        <f t="shared" ca="1" si="26"/>
        <v>49139.550999999999</v>
      </c>
      <c r="H127" s="336">
        <f t="shared" ca="1" si="27"/>
        <v>11842631.7633</v>
      </c>
      <c r="I127" s="337">
        <f t="shared" ca="1" si="23"/>
        <v>-11842632</v>
      </c>
    </row>
    <row r="128" spans="1:9">
      <c r="A128" s="335">
        <f t="shared" si="24"/>
        <v>111</v>
      </c>
      <c r="B128" s="340">
        <f t="shared" si="28"/>
        <v>49644</v>
      </c>
      <c r="C128" s="336">
        <f t="shared" ca="1" si="25"/>
        <v>11842631.7633</v>
      </c>
      <c r="D128" s="335"/>
      <c r="E128" s="336">
        <f t="shared" si="32"/>
        <v>0</v>
      </c>
      <c r="F128" s="336">
        <f t="shared" ca="1" si="22"/>
        <v>-49344.298999999999</v>
      </c>
      <c r="G128" s="336">
        <f t="shared" ca="1" si="26"/>
        <v>49344.298999999999</v>
      </c>
      <c r="H128" s="336">
        <f t="shared" ca="1" si="27"/>
        <v>11891976.0623</v>
      </c>
      <c r="I128" s="337">
        <f t="shared" ca="1" si="23"/>
        <v>-11891976</v>
      </c>
    </row>
    <row r="129" spans="1:9">
      <c r="A129" s="335">
        <f t="shared" si="24"/>
        <v>112</v>
      </c>
      <c r="B129" s="340">
        <f t="shared" si="28"/>
        <v>49675</v>
      </c>
      <c r="C129" s="336">
        <f t="shared" ca="1" si="25"/>
        <v>11891976.0623</v>
      </c>
      <c r="D129" s="335"/>
      <c r="E129" s="336">
        <f t="shared" si="32"/>
        <v>0</v>
      </c>
      <c r="F129" s="336">
        <f t="shared" ca="1" si="22"/>
        <v>-49549.9</v>
      </c>
      <c r="G129" s="336">
        <f t="shared" ca="1" si="26"/>
        <v>49549.9</v>
      </c>
      <c r="H129" s="336">
        <f t="shared" ca="1" si="27"/>
        <v>11941525.962300001</v>
      </c>
      <c r="I129" s="337">
        <f t="shared" ca="1" si="23"/>
        <v>-11941526</v>
      </c>
    </row>
    <row r="130" spans="1:9">
      <c r="A130" s="335">
        <f t="shared" si="24"/>
        <v>113</v>
      </c>
      <c r="B130" s="340">
        <f t="shared" si="28"/>
        <v>49706</v>
      </c>
      <c r="C130" s="336">
        <f t="shared" ca="1" si="25"/>
        <v>11941525.962300001</v>
      </c>
      <c r="D130" s="335"/>
      <c r="E130" s="336">
        <f t="shared" si="32"/>
        <v>0</v>
      </c>
      <c r="F130" s="336">
        <f t="shared" ca="1" si="22"/>
        <v>-49756.358</v>
      </c>
      <c r="G130" s="336">
        <f t="shared" ca="1" si="26"/>
        <v>49756.358</v>
      </c>
      <c r="H130" s="336">
        <f t="shared" ca="1" si="27"/>
        <v>11991282.3203</v>
      </c>
      <c r="I130" s="337">
        <f t="shared" ca="1" si="23"/>
        <v>-11991282</v>
      </c>
    </row>
    <row r="131" spans="1:9">
      <c r="A131" s="335">
        <f t="shared" si="24"/>
        <v>114</v>
      </c>
      <c r="B131" s="340">
        <f t="shared" si="28"/>
        <v>49735</v>
      </c>
      <c r="C131" s="336">
        <f t="shared" ca="1" si="25"/>
        <v>11991282.3203</v>
      </c>
      <c r="D131" s="335"/>
      <c r="E131" s="336">
        <f t="shared" ca="1" si="32"/>
        <v>813991</v>
      </c>
      <c r="F131" s="336">
        <f t="shared" ca="1" si="22"/>
        <v>767418.95299999998</v>
      </c>
      <c r="G131" s="336">
        <f t="shared" ca="1" si="26"/>
        <v>46572.046999999999</v>
      </c>
      <c r="H131" s="336">
        <f t="shared" ca="1" si="27"/>
        <v>11223863.3673</v>
      </c>
      <c r="I131" s="337">
        <f t="shared" ca="1" si="23"/>
        <v>-11223863</v>
      </c>
    </row>
    <row r="132" spans="1:9">
      <c r="A132" s="335">
        <f t="shared" si="24"/>
        <v>115</v>
      </c>
      <c r="B132" s="340">
        <f t="shared" si="28"/>
        <v>49766</v>
      </c>
      <c r="C132" s="336">
        <f t="shared" ca="1" si="25"/>
        <v>11223863.3673</v>
      </c>
      <c r="D132" s="335"/>
      <c r="E132" s="336">
        <f t="shared" si="32"/>
        <v>0</v>
      </c>
      <c r="F132" s="336">
        <f t="shared" ca="1" si="22"/>
        <v>-46766.097000000002</v>
      </c>
      <c r="G132" s="336">
        <f t="shared" ca="1" si="26"/>
        <v>46766.097000000002</v>
      </c>
      <c r="H132" s="336">
        <f t="shared" ca="1" si="27"/>
        <v>11270629.464299999</v>
      </c>
      <c r="I132" s="337">
        <f t="shared" ca="1" si="23"/>
        <v>-11270629</v>
      </c>
    </row>
    <row r="133" spans="1:9">
      <c r="A133" s="335">
        <f t="shared" si="24"/>
        <v>116</v>
      </c>
      <c r="B133" s="340">
        <f t="shared" si="28"/>
        <v>49796</v>
      </c>
      <c r="C133" s="336">
        <f t="shared" ca="1" si="25"/>
        <v>11270629.464299999</v>
      </c>
      <c r="D133" s="335"/>
      <c r="E133" s="336">
        <f t="shared" si="32"/>
        <v>0</v>
      </c>
      <c r="F133" s="336">
        <f t="shared" ca="1" si="22"/>
        <v>-46960.955999999998</v>
      </c>
      <c r="G133" s="336">
        <f t="shared" ca="1" si="26"/>
        <v>46960.955999999998</v>
      </c>
      <c r="H133" s="336">
        <f t="shared" ca="1" si="27"/>
        <v>11317590.420299999</v>
      </c>
      <c r="I133" s="337">
        <f t="shared" ca="1" si="23"/>
        <v>-11317590</v>
      </c>
    </row>
    <row r="134" spans="1:9">
      <c r="A134" s="335">
        <f t="shared" si="24"/>
        <v>117</v>
      </c>
      <c r="B134" s="340">
        <f t="shared" si="28"/>
        <v>49827</v>
      </c>
      <c r="C134" s="336">
        <f t="shared" ca="1" si="25"/>
        <v>11317590.420299999</v>
      </c>
      <c r="D134" s="335"/>
      <c r="E134" s="336">
        <f t="shared" si="32"/>
        <v>0</v>
      </c>
      <c r="F134" s="336">
        <f t="shared" ca="1" si="22"/>
        <v>-47156.627</v>
      </c>
      <c r="G134" s="336">
        <f t="shared" ca="1" si="26"/>
        <v>47156.627</v>
      </c>
      <c r="H134" s="336">
        <f t="shared" ca="1" si="27"/>
        <v>11364747.0473</v>
      </c>
      <c r="I134" s="337">
        <f t="shared" ca="1" si="23"/>
        <v>-11364747</v>
      </c>
    </row>
    <row r="135" spans="1:9">
      <c r="A135" s="335">
        <f t="shared" si="24"/>
        <v>118</v>
      </c>
      <c r="B135" s="340">
        <f t="shared" si="28"/>
        <v>49857</v>
      </c>
      <c r="C135" s="336">
        <f t="shared" ca="1" si="25"/>
        <v>11364747.0473</v>
      </c>
      <c r="D135" s="335"/>
      <c r="E135" s="336">
        <f t="shared" si="32"/>
        <v>0</v>
      </c>
      <c r="F135" s="336">
        <f t="shared" ca="1" si="22"/>
        <v>-47353.112999999998</v>
      </c>
      <c r="G135" s="336">
        <f t="shared" ca="1" si="26"/>
        <v>47353.112999999998</v>
      </c>
      <c r="H135" s="336">
        <f t="shared" ca="1" si="27"/>
        <v>11412100.1603</v>
      </c>
      <c r="I135" s="337">
        <f t="shared" ca="1" si="23"/>
        <v>-11412100</v>
      </c>
    </row>
    <row r="136" spans="1:9">
      <c r="A136" s="335">
        <f t="shared" si="24"/>
        <v>119</v>
      </c>
      <c r="B136" s="340">
        <f t="shared" si="28"/>
        <v>49888</v>
      </c>
      <c r="C136" s="336">
        <f t="shared" ca="1" si="25"/>
        <v>11412100.1603</v>
      </c>
      <c r="D136" s="335"/>
      <c r="E136" s="336">
        <f t="shared" si="32"/>
        <v>0</v>
      </c>
      <c r="F136" s="336">
        <f t="shared" ca="1" si="22"/>
        <v>-47550.417000000001</v>
      </c>
      <c r="G136" s="336">
        <f t="shared" ca="1" si="26"/>
        <v>47550.417000000001</v>
      </c>
      <c r="H136" s="336">
        <f t="shared" ca="1" si="27"/>
        <v>11459650.577299999</v>
      </c>
      <c r="I136" s="337">
        <f t="shared" ca="1" si="23"/>
        <v>-11459651</v>
      </c>
    </row>
    <row r="137" spans="1:9">
      <c r="A137" s="335">
        <f t="shared" si="24"/>
        <v>120</v>
      </c>
      <c r="B137" s="340">
        <f t="shared" si="28"/>
        <v>49919</v>
      </c>
      <c r="C137" s="336">
        <f t="shared" ca="1" si="25"/>
        <v>11459650.577299999</v>
      </c>
      <c r="D137" s="336">
        <f ca="1">IF(H137&lt;0,0,0.5*(K27-L27))</f>
        <v>830877</v>
      </c>
      <c r="E137" s="336">
        <f t="shared" ca="1" si="32"/>
        <v>813991</v>
      </c>
      <c r="F137" s="336">
        <f t="shared" ca="1" si="22"/>
        <v>769634.08499999996</v>
      </c>
      <c r="G137" s="336">
        <f t="shared" ca="1" si="26"/>
        <v>44356.915000000001</v>
      </c>
      <c r="H137" s="336">
        <f t="shared" ca="1" si="27"/>
        <v>10690016.4923</v>
      </c>
      <c r="I137" s="337">
        <f t="shared" ca="1" si="23"/>
        <v>-9859139</v>
      </c>
    </row>
    <row r="138" spans="1:9">
      <c r="A138" s="335">
        <f t="shared" si="24"/>
        <v>121</v>
      </c>
      <c r="B138" s="340">
        <f t="shared" si="28"/>
        <v>49949</v>
      </c>
      <c r="C138" s="336">
        <f t="shared" ca="1" si="25"/>
        <v>10690016.4923</v>
      </c>
      <c r="D138" s="336"/>
      <c r="E138" s="336">
        <f t="shared" ref="E138:E149" si="33">IF($D$10=1,IF(OR(MONTH(B138)=MONTH(EDATE($D$7,0)),MONTH(B138)=MONTH(EDATE($D$7,6))),(MIN($D$137,H137)),0),IF($D$10=0,IF(OR(MONTH(B138)=MONTH(EDATE($D$7,5)),MONTH(B138)=MONTH(EDATE($D$7,11))),(MIN($D$137,H137)),0)))</f>
        <v>0</v>
      </c>
      <c r="F138" s="336">
        <f t="shared" ca="1" si="22"/>
        <v>-44541.735000000001</v>
      </c>
      <c r="G138" s="336">
        <f t="shared" ca="1" si="26"/>
        <v>44541.735000000001</v>
      </c>
      <c r="H138" s="336">
        <f t="shared" ca="1" si="27"/>
        <v>10734558.227299999</v>
      </c>
      <c r="I138" s="337">
        <f t="shared" ca="1" si="23"/>
        <v>-10734558</v>
      </c>
    </row>
    <row r="139" spans="1:9">
      <c r="A139" s="335">
        <f t="shared" si="24"/>
        <v>122</v>
      </c>
      <c r="B139" s="340">
        <f t="shared" si="28"/>
        <v>49980</v>
      </c>
      <c r="C139" s="336">
        <f t="shared" ca="1" si="25"/>
        <v>10734558.227299999</v>
      </c>
      <c r="D139" s="335"/>
      <c r="E139" s="336">
        <f t="shared" si="33"/>
        <v>0</v>
      </c>
      <c r="F139" s="336">
        <f t="shared" ca="1" si="22"/>
        <v>-44727.326000000001</v>
      </c>
      <c r="G139" s="336">
        <f t="shared" ca="1" si="26"/>
        <v>44727.326000000001</v>
      </c>
      <c r="H139" s="336">
        <f t="shared" ca="1" si="27"/>
        <v>10779285.553300001</v>
      </c>
      <c r="I139" s="337">
        <f t="shared" ca="1" si="23"/>
        <v>-10779286</v>
      </c>
    </row>
    <row r="140" spans="1:9">
      <c r="A140" s="335">
        <f t="shared" si="24"/>
        <v>123</v>
      </c>
      <c r="B140" s="340">
        <f t="shared" si="28"/>
        <v>50010</v>
      </c>
      <c r="C140" s="336">
        <f t="shared" ca="1" si="25"/>
        <v>10779285.553300001</v>
      </c>
      <c r="D140" s="335"/>
      <c r="E140" s="336">
        <f t="shared" si="33"/>
        <v>0</v>
      </c>
      <c r="F140" s="336">
        <f t="shared" ca="1" si="22"/>
        <v>-44913.69</v>
      </c>
      <c r="G140" s="336">
        <f t="shared" ca="1" si="26"/>
        <v>44913.69</v>
      </c>
      <c r="H140" s="336">
        <f t="shared" ca="1" si="27"/>
        <v>10824199.2433</v>
      </c>
      <c r="I140" s="337">
        <f t="shared" ca="1" si="23"/>
        <v>-10824199</v>
      </c>
    </row>
    <row r="141" spans="1:9">
      <c r="A141" s="335">
        <f t="shared" si="24"/>
        <v>124</v>
      </c>
      <c r="B141" s="340">
        <f t="shared" si="28"/>
        <v>50041</v>
      </c>
      <c r="C141" s="336">
        <f t="shared" ca="1" si="25"/>
        <v>10824199.2433</v>
      </c>
      <c r="D141" s="335"/>
      <c r="E141" s="336">
        <f t="shared" si="33"/>
        <v>0</v>
      </c>
      <c r="F141" s="336">
        <f t="shared" ca="1" si="22"/>
        <v>-45100.83</v>
      </c>
      <c r="G141" s="336">
        <f t="shared" ca="1" si="26"/>
        <v>45100.83</v>
      </c>
      <c r="H141" s="336">
        <f t="shared" ca="1" si="27"/>
        <v>10869300.0733</v>
      </c>
      <c r="I141" s="337">
        <f t="shared" ca="1" si="23"/>
        <v>-10869300</v>
      </c>
    </row>
    <row r="142" spans="1:9">
      <c r="A142" s="335">
        <f t="shared" si="24"/>
        <v>125</v>
      </c>
      <c r="B142" s="340">
        <f t="shared" si="28"/>
        <v>50072</v>
      </c>
      <c r="C142" s="336">
        <f t="shared" ca="1" si="25"/>
        <v>10869300.0733</v>
      </c>
      <c r="D142" s="335"/>
      <c r="E142" s="336">
        <f t="shared" si="33"/>
        <v>0</v>
      </c>
      <c r="F142" s="336">
        <f t="shared" ca="1" si="22"/>
        <v>-45288.75</v>
      </c>
      <c r="G142" s="336">
        <f t="shared" ca="1" si="26"/>
        <v>45288.75</v>
      </c>
      <c r="H142" s="336">
        <f t="shared" ca="1" si="27"/>
        <v>10914588.8233</v>
      </c>
      <c r="I142" s="337">
        <f t="shared" ca="1" si="23"/>
        <v>-10914589</v>
      </c>
    </row>
    <row r="143" spans="1:9">
      <c r="A143" s="335">
        <f t="shared" si="24"/>
        <v>126</v>
      </c>
      <c r="B143" s="340">
        <f t="shared" si="28"/>
        <v>50100</v>
      </c>
      <c r="C143" s="336">
        <f t="shared" ca="1" si="25"/>
        <v>10914588.8233</v>
      </c>
      <c r="D143" s="335"/>
      <c r="E143" s="336">
        <f t="shared" ca="1" si="33"/>
        <v>830877</v>
      </c>
      <c r="F143" s="336">
        <f t="shared" ca="1" si="22"/>
        <v>788861.53399999999</v>
      </c>
      <c r="G143" s="336">
        <f t="shared" ca="1" si="26"/>
        <v>42015.466</v>
      </c>
      <c r="H143" s="336">
        <f t="shared" ca="1" si="27"/>
        <v>10125727.2893</v>
      </c>
      <c r="I143" s="337">
        <f t="shared" ca="1" si="23"/>
        <v>-10125727</v>
      </c>
    </row>
    <row r="144" spans="1:9">
      <c r="A144" s="335">
        <f t="shared" si="24"/>
        <v>127</v>
      </c>
      <c r="B144" s="340">
        <f t="shared" si="28"/>
        <v>50131</v>
      </c>
      <c r="C144" s="336">
        <f t="shared" ca="1" si="25"/>
        <v>10125727.2893</v>
      </c>
      <c r="D144" s="335"/>
      <c r="E144" s="336">
        <f t="shared" si="33"/>
        <v>0</v>
      </c>
      <c r="F144" s="336">
        <f t="shared" ca="1" si="22"/>
        <v>-42190.53</v>
      </c>
      <c r="G144" s="336">
        <f t="shared" ca="1" si="26"/>
        <v>42190.53</v>
      </c>
      <c r="H144" s="336">
        <f t="shared" ca="1" si="27"/>
        <v>10167917.8193</v>
      </c>
      <c r="I144" s="337">
        <f t="shared" ca="1" si="23"/>
        <v>-10167918</v>
      </c>
    </row>
    <row r="145" spans="1:9">
      <c r="A145" s="335">
        <f t="shared" si="24"/>
        <v>128</v>
      </c>
      <c r="B145" s="340">
        <f t="shared" si="28"/>
        <v>50161</v>
      </c>
      <c r="C145" s="336">
        <f t="shared" ca="1" si="25"/>
        <v>10167917.8193</v>
      </c>
      <c r="D145" s="335"/>
      <c r="E145" s="336">
        <f t="shared" si="33"/>
        <v>0</v>
      </c>
      <c r="F145" s="336">
        <f t="shared" ca="1" si="22"/>
        <v>-42366.324000000001</v>
      </c>
      <c r="G145" s="336">
        <f t="shared" ca="1" si="26"/>
        <v>42366.324000000001</v>
      </c>
      <c r="H145" s="336">
        <f t="shared" ca="1" si="27"/>
        <v>10210284.143300001</v>
      </c>
      <c r="I145" s="337">
        <f t="shared" ca="1" si="23"/>
        <v>-10210284</v>
      </c>
    </row>
    <row r="146" spans="1:9">
      <c r="A146" s="335">
        <f t="shared" si="24"/>
        <v>129</v>
      </c>
      <c r="B146" s="340">
        <f t="shared" si="28"/>
        <v>50192</v>
      </c>
      <c r="C146" s="336">
        <f t="shared" ca="1" si="25"/>
        <v>10210284.143300001</v>
      </c>
      <c r="D146" s="335"/>
      <c r="E146" s="336">
        <f t="shared" si="33"/>
        <v>0</v>
      </c>
      <c r="F146" s="336">
        <f t="shared" ref="F146:F209" ca="1" si="34">IF(E146="","",E146-G146)</f>
        <v>-42542.851000000002</v>
      </c>
      <c r="G146" s="336">
        <f t="shared" ca="1" si="26"/>
        <v>42542.851000000002</v>
      </c>
      <c r="H146" s="336">
        <f t="shared" ca="1" si="27"/>
        <v>10252826.9943</v>
      </c>
      <c r="I146" s="337">
        <f t="shared" ref="I146:I209" ca="1" si="35">ROUND((D146-H146),0)</f>
        <v>-10252827</v>
      </c>
    </row>
    <row r="147" spans="1:9">
      <c r="A147" s="335">
        <f t="shared" ref="A147:A210" si="36">IF(A146="","",IF(A146=$D$6,"",A146+1))</f>
        <v>130</v>
      </c>
      <c r="B147" s="340">
        <f t="shared" si="28"/>
        <v>50222</v>
      </c>
      <c r="C147" s="336">
        <f t="shared" ref="C147:C210" ca="1" si="37">IF(H146=0,0,H146)</f>
        <v>10252826.9943</v>
      </c>
      <c r="D147" s="335"/>
      <c r="E147" s="336">
        <f t="shared" si="33"/>
        <v>0</v>
      </c>
      <c r="F147" s="336">
        <f t="shared" ca="1" si="34"/>
        <v>-42720.112000000001</v>
      </c>
      <c r="G147" s="336">
        <f t="shared" ref="G147:G210" ca="1" si="38">ROUND((C147-E147)*$D$5,3)</f>
        <v>42720.112000000001</v>
      </c>
      <c r="H147" s="336">
        <f t="shared" ref="H147:H210" ca="1" si="39">IF(E147="","",ROUND(H146-F147,4))</f>
        <v>10295547.1063</v>
      </c>
      <c r="I147" s="337">
        <f t="shared" ca="1" si="35"/>
        <v>-10295547</v>
      </c>
    </row>
    <row r="148" spans="1:9">
      <c r="A148" s="335">
        <f t="shared" si="36"/>
        <v>131</v>
      </c>
      <c r="B148" s="340">
        <f t="shared" ref="B148:B211" si="40">DATE(YEAR(B147),MONTH(B147)+1,1)</f>
        <v>50253</v>
      </c>
      <c r="C148" s="336">
        <f t="shared" ca="1" si="37"/>
        <v>10295547.1063</v>
      </c>
      <c r="D148" s="335"/>
      <c r="E148" s="336">
        <f t="shared" si="33"/>
        <v>0</v>
      </c>
      <c r="F148" s="336">
        <f t="shared" ca="1" si="34"/>
        <v>-42898.112999999998</v>
      </c>
      <c r="G148" s="336">
        <f t="shared" ca="1" si="38"/>
        <v>42898.112999999998</v>
      </c>
      <c r="H148" s="336">
        <f t="shared" ca="1" si="39"/>
        <v>10338445.2193</v>
      </c>
      <c r="I148" s="337">
        <f t="shared" ca="1" si="35"/>
        <v>-10338445</v>
      </c>
    </row>
    <row r="149" spans="1:9">
      <c r="A149" s="335">
        <f t="shared" si="36"/>
        <v>132</v>
      </c>
      <c r="B149" s="340">
        <f t="shared" si="40"/>
        <v>50284</v>
      </c>
      <c r="C149" s="336">
        <f t="shared" ca="1" si="37"/>
        <v>10338445.2193</v>
      </c>
      <c r="D149" s="336">
        <f ca="1">IF(H149&lt;0,0,0.5*(K28-L28))</f>
        <v>848206</v>
      </c>
      <c r="E149" s="336">
        <f t="shared" ca="1" si="33"/>
        <v>830877</v>
      </c>
      <c r="F149" s="336">
        <f t="shared" ca="1" si="34"/>
        <v>791262.13199999998</v>
      </c>
      <c r="G149" s="336">
        <f t="shared" ca="1" si="38"/>
        <v>39614.868000000002</v>
      </c>
      <c r="H149" s="336">
        <f t="shared" ca="1" si="39"/>
        <v>9547183.0873000007</v>
      </c>
      <c r="I149" s="337">
        <f t="shared" ca="1" si="35"/>
        <v>-8698977</v>
      </c>
    </row>
    <row r="150" spans="1:9">
      <c r="A150" s="335">
        <f t="shared" si="36"/>
        <v>133</v>
      </c>
      <c r="B150" s="340">
        <f t="shared" si="40"/>
        <v>50314</v>
      </c>
      <c r="C150" s="336">
        <f t="shared" ca="1" si="37"/>
        <v>9547183.0873000007</v>
      </c>
      <c r="D150" s="336"/>
      <c r="E150" s="336">
        <f t="shared" ref="E150:E161" si="41">IF($D$10=1,IF(OR(MONTH(B150)=MONTH(EDATE($D$7,0)),MONTH(B150)=MONTH(EDATE($D$7,6))),(MIN($D$149,H149)),0),IF($D$10=0,IF(OR(MONTH(B150)=MONTH(EDATE($D$7,5)),MONTH(B150)=MONTH(EDATE($D$7,11))),(MIN($D$149,H149)),0)))</f>
        <v>0</v>
      </c>
      <c r="F150" s="336">
        <f t="shared" ca="1" si="34"/>
        <v>-39779.93</v>
      </c>
      <c r="G150" s="336">
        <f t="shared" ca="1" si="38"/>
        <v>39779.93</v>
      </c>
      <c r="H150" s="336">
        <f t="shared" ca="1" si="39"/>
        <v>9586963.0173000004</v>
      </c>
      <c r="I150" s="337">
        <f t="shared" ca="1" si="35"/>
        <v>-9586963</v>
      </c>
    </row>
    <row r="151" spans="1:9">
      <c r="A151" s="335">
        <f t="shared" si="36"/>
        <v>134</v>
      </c>
      <c r="B151" s="340">
        <f t="shared" si="40"/>
        <v>50345</v>
      </c>
      <c r="C151" s="336">
        <f t="shared" ca="1" si="37"/>
        <v>9586963.0173000004</v>
      </c>
      <c r="D151" s="335"/>
      <c r="E151" s="336">
        <f t="shared" si="41"/>
        <v>0</v>
      </c>
      <c r="F151" s="336">
        <f t="shared" ca="1" si="34"/>
        <v>-39945.678999999996</v>
      </c>
      <c r="G151" s="336">
        <f t="shared" ca="1" si="38"/>
        <v>39945.678999999996</v>
      </c>
      <c r="H151" s="336">
        <f t="shared" ca="1" si="39"/>
        <v>9626908.6963</v>
      </c>
      <c r="I151" s="337">
        <f t="shared" ca="1" si="35"/>
        <v>-9626909</v>
      </c>
    </row>
    <row r="152" spans="1:9">
      <c r="A152" s="335">
        <f t="shared" si="36"/>
        <v>135</v>
      </c>
      <c r="B152" s="340">
        <f t="shared" si="40"/>
        <v>50375</v>
      </c>
      <c r="C152" s="336">
        <f t="shared" ca="1" si="37"/>
        <v>9626908.6963</v>
      </c>
      <c r="D152" s="335"/>
      <c r="E152" s="336">
        <f t="shared" si="41"/>
        <v>0</v>
      </c>
      <c r="F152" s="336">
        <f t="shared" ca="1" si="34"/>
        <v>-40112.120000000003</v>
      </c>
      <c r="G152" s="336">
        <f t="shared" ca="1" si="38"/>
        <v>40112.120000000003</v>
      </c>
      <c r="H152" s="336">
        <f t="shared" ca="1" si="39"/>
        <v>9667020.8162999991</v>
      </c>
      <c r="I152" s="337">
        <f t="shared" ca="1" si="35"/>
        <v>-9667021</v>
      </c>
    </row>
    <row r="153" spans="1:9">
      <c r="A153" s="335">
        <f t="shared" si="36"/>
        <v>136</v>
      </c>
      <c r="B153" s="340">
        <f t="shared" si="40"/>
        <v>50406</v>
      </c>
      <c r="C153" s="336">
        <f t="shared" ca="1" si="37"/>
        <v>9667020.8162999991</v>
      </c>
      <c r="D153" s="335"/>
      <c r="E153" s="336">
        <f t="shared" si="41"/>
        <v>0</v>
      </c>
      <c r="F153" s="336">
        <f t="shared" ca="1" si="34"/>
        <v>-40279.252999999997</v>
      </c>
      <c r="G153" s="336">
        <f t="shared" ca="1" si="38"/>
        <v>40279.252999999997</v>
      </c>
      <c r="H153" s="336">
        <f t="shared" ca="1" si="39"/>
        <v>9707300.0692999996</v>
      </c>
      <c r="I153" s="337">
        <f t="shared" ca="1" si="35"/>
        <v>-9707300</v>
      </c>
    </row>
    <row r="154" spans="1:9">
      <c r="A154" s="335">
        <f t="shared" si="36"/>
        <v>137</v>
      </c>
      <c r="B154" s="340">
        <f t="shared" si="40"/>
        <v>50437</v>
      </c>
      <c r="C154" s="336">
        <f t="shared" ca="1" si="37"/>
        <v>9707300.0692999996</v>
      </c>
      <c r="D154" s="335"/>
      <c r="E154" s="336">
        <f t="shared" si="41"/>
        <v>0</v>
      </c>
      <c r="F154" s="336">
        <f t="shared" ca="1" si="34"/>
        <v>-40447.084000000003</v>
      </c>
      <c r="G154" s="336">
        <f t="shared" ca="1" si="38"/>
        <v>40447.084000000003</v>
      </c>
      <c r="H154" s="336">
        <f t="shared" ca="1" si="39"/>
        <v>9747747.1533000004</v>
      </c>
      <c r="I154" s="337">
        <f t="shared" ca="1" si="35"/>
        <v>-9747747</v>
      </c>
    </row>
    <row r="155" spans="1:9">
      <c r="A155" s="335">
        <f t="shared" si="36"/>
        <v>138</v>
      </c>
      <c r="B155" s="340">
        <f t="shared" si="40"/>
        <v>50465</v>
      </c>
      <c r="C155" s="336">
        <f t="shared" ca="1" si="37"/>
        <v>9747747.1533000004</v>
      </c>
      <c r="D155" s="335"/>
      <c r="E155" s="336">
        <f t="shared" ca="1" si="41"/>
        <v>848206</v>
      </c>
      <c r="F155" s="336">
        <f t="shared" ca="1" si="34"/>
        <v>811124.57900000003</v>
      </c>
      <c r="G155" s="336">
        <f t="shared" ca="1" si="38"/>
        <v>37081.421000000002</v>
      </c>
      <c r="H155" s="336">
        <f t="shared" ca="1" si="39"/>
        <v>8936622.5743000004</v>
      </c>
      <c r="I155" s="337">
        <f t="shared" ca="1" si="35"/>
        <v>-8936623</v>
      </c>
    </row>
    <row r="156" spans="1:9">
      <c r="A156" s="335">
        <f t="shared" si="36"/>
        <v>139</v>
      </c>
      <c r="B156" s="340">
        <f t="shared" si="40"/>
        <v>50496</v>
      </c>
      <c r="C156" s="336">
        <f t="shared" ca="1" si="37"/>
        <v>8936622.5743000004</v>
      </c>
      <c r="D156" s="335"/>
      <c r="E156" s="336">
        <f t="shared" si="41"/>
        <v>0</v>
      </c>
      <c r="F156" s="336">
        <f t="shared" ca="1" si="34"/>
        <v>-37235.927000000003</v>
      </c>
      <c r="G156" s="336">
        <f t="shared" ca="1" si="38"/>
        <v>37235.927000000003</v>
      </c>
      <c r="H156" s="336">
        <f t="shared" ca="1" si="39"/>
        <v>8973858.5012999997</v>
      </c>
      <c r="I156" s="337">
        <f t="shared" ca="1" si="35"/>
        <v>-8973859</v>
      </c>
    </row>
    <row r="157" spans="1:9">
      <c r="A157" s="335">
        <f t="shared" si="36"/>
        <v>140</v>
      </c>
      <c r="B157" s="340">
        <f t="shared" si="40"/>
        <v>50526</v>
      </c>
      <c r="C157" s="336">
        <f t="shared" ca="1" si="37"/>
        <v>8973858.5012999997</v>
      </c>
      <c r="D157" s="335"/>
      <c r="E157" s="336">
        <f t="shared" si="41"/>
        <v>0</v>
      </c>
      <c r="F157" s="336">
        <f t="shared" ca="1" si="34"/>
        <v>-37391.076999999997</v>
      </c>
      <c r="G157" s="336">
        <f t="shared" ca="1" si="38"/>
        <v>37391.076999999997</v>
      </c>
      <c r="H157" s="336">
        <f t="shared" ca="1" si="39"/>
        <v>9011249.5782999992</v>
      </c>
      <c r="I157" s="337">
        <f t="shared" ca="1" si="35"/>
        <v>-9011250</v>
      </c>
    </row>
    <row r="158" spans="1:9">
      <c r="A158" s="335">
        <f t="shared" si="36"/>
        <v>141</v>
      </c>
      <c r="B158" s="340">
        <f t="shared" si="40"/>
        <v>50557</v>
      </c>
      <c r="C158" s="336">
        <f t="shared" ca="1" si="37"/>
        <v>9011249.5782999992</v>
      </c>
      <c r="D158" s="335"/>
      <c r="E158" s="336">
        <f t="shared" si="41"/>
        <v>0</v>
      </c>
      <c r="F158" s="336">
        <f t="shared" ca="1" si="34"/>
        <v>-37546.873</v>
      </c>
      <c r="G158" s="336">
        <f t="shared" ca="1" si="38"/>
        <v>37546.873</v>
      </c>
      <c r="H158" s="336">
        <f t="shared" ca="1" si="39"/>
        <v>9048796.4513000008</v>
      </c>
      <c r="I158" s="337">
        <f t="shared" ca="1" si="35"/>
        <v>-9048796</v>
      </c>
    </row>
    <row r="159" spans="1:9">
      <c r="A159" s="335">
        <f t="shared" si="36"/>
        <v>142</v>
      </c>
      <c r="B159" s="340">
        <f t="shared" si="40"/>
        <v>50587</v>
      </c>
      <c r="C159" s="336">
        <f t="shared" ca="1" si="37"/>
        <v>9048796.4513000008</v>
      </c>
      <c r="D159" s="335"/>
      <c r="E159" s="336">
        <f t="shared" si="41"/>
        <v>0</v>
      </c>
      <c r="F159" s="336">
        <f t="shared" ca="1" si="34"/>
        <v>-37703.319000000003</v>
      </c>
      <c r="G159" s="336">
        <f t="shared" ca="1" si="38"/>
        <v>37703.319000000003</v>
      </c>
      <c r="H159" s="336">
        <f t="shared" ca="1" si="39"/>
        <v>9086499.7703000009</v>
      </c>
      <c r="I159" s="337">
        <f t="shared" ca="1" si="35"/>
        <v>-9086500</v>
      </c>
    </row>
    <row r="160" spans="1:9">
      <c r="A160" s="335">
        <f t="shared" si="36"/>
        <v>143</v>
      </c>
      <c r="B160" s="340">
        <f t="shared" si="40"/>
        <v>50618</v>
      </c>
      <c r="C160" s="336">
        <f t="shared" ca="1" si="37"/>
        <v>9086499.7703000009</v>
      </c>
      <c r="D160" s="335"/>
      <c r="E160" s="336">
        <f t="shared" si="41"/>
        <v>0</v>
      </c>
      <c r="F160" s="336">
        <f t="shared" ca="1" si="34"/>
        <v>-37860.415999999997</v>
      </c>
      <c r="G160" s="336">
        <f t="shared" ca="1" si="38"/>
        <v>37860.415999999997</v>
      </c>
      <c r="H160" s="336">
        <f t="shared" ca="1" si="39"/>
        <v>9124360.1863000002</v>
      </c>
      <c r="I160" s="337">
        <f t="shared" ca="1" si="35"/>
        <v>-9124360</v>
      </c>
    </row>
    <row r="161" spans="1:9">
      <c r="A161" s="335">
        <f t="shared" si="36"/>
        <v>144</v>
      </c>
      <c r="B161" s="340">
        <f t="shared" si="40"/>
        <v>50649</v>
      </c>
      <c r="C161" s="336">
        <f t="shared" ca="1" si="37"/>
        <v>9124360.1863000002</v>
      </c>
      <c r="D161" s="336">
        <f ca="1">IF(H161&lt;0,0,0.5*(K29-L29))</f>
        <v>865992.5</v>
      </c>
      <c r="E161" s="336">
        <f t="shared" ca="1" si="41"/>
        <v>848206</v>
      </c>
      <c r="F161" s="336">
        <f t="shared" ca="1" si="34"/>
        <v>813722.02399999998</v>
      </c>
      <c r="G161" s="336">
        <f t="shared" ca="1" si="38"/>
        <v>34483.976000000002</v>
      </c>
      <c r="H161" s="336">
        <f t="shared" ca="1" si="39"/>
        <v>8310638.1623</v>
      </c>
      <c r="I161" s="337">
        <f t="shared" ca="1" si="35"/>
        <v>-7444646</v>
      </c>
    </row>
    <row r="162" spans="1:9">
      <c r="A162" s="335">
        <f t="shared" si="36"/>
        <v>145</v>
      </c>
      <c r="B162" s="340">
        <f t="shared" si="40"/>
        <v>50679</v>
      </c>
      <c r="C162" s="336">
        <f t="shared" ca="1" si="37"/>
        <v>8310638.1623</v>
      </c>
      <c r="D162" s="336"/>
      <c r="E162" s="336">
        <f t="shared" ref="E162:E173" si="42">IF($D$10=1,IF(OR(MONTH(B162)=MONTH(EDATE($D$7,0)),MONTH(B162)=MONTH(EDATE($D$7,6))),(MIN($D$161,H161)),0),IF($D$10=0,IF(OR(MONTH(B162)=MONTH(EDATE($D$7,5)),MONTH(B162)=MONTH(EDATE($D$7,11))),(MIN($D$161,H161)),0)))</f>
        <v>0</v>
      </c>
      <c r="F162" s="336">
        <f t="shared" ca="1" si="34"/>
        <v>-34627.659</v>
      </c>
      <c r="G162" s="336">
        <f t="shared" ca="1" si="38"/>
        <v>34627.659</v>
      </c>
      <c r="H162" s="336">
        <f t="shared" ca="1" si="39"/>
        <v>8345265.8213</v>
      </c>
      <c r="I162" s="337">
        <f t="shared" ca="1" si="35"/>
        <v>-8345266</v>
      </c>
    </row>
    <row r="163" spans="1:9">
      <c r="A163" s="335">
        <f t="shared" si="36"/>
        <v>146</v>
      </c>
      <c r="B163" s="340">
        <f t="shared" si="40"/>
        <v>50710</v>
      </c>
      <c r="C163" s="336">
        <f t="shared" ca="1" si="37"/>
        <v>8345265.8213</v>
      </c>
      <c r="D163" s="336"/>
      <c r="E163" s="336">
        <f t="shared" si="42"/>
        <v>0</v>
      </c>
      <c r="F163" s="336">
        <f t="shared" ca="1" si="34"/>
        <v>-34771.940999999999</v>
      </c>
      <c r="G163" s="336">
        <f t="shared" ca="1" si="38"/>
        <v>34771.940999999999</v>
      </c>
      <c r="H163" s="336">
        <f t="shared" ca="1" si="39"/>
        <v>8380037.7622999996</v>
      </c>
      <c r="I163" s="337">
        <f t="shared" ca="1" si="35"/>
        <v>-8380038</v>
      </c>
    </row>
    <row r="164" spans="1:9">
      <c r="A164" s="335">
        <f t="shared" si="36"/>
        <v>147</v>
      </c>
      <c r="B164" s="340">
        <f t="shared" si="40"/>
        <v>50740</v>
      </c>
      <c r="C164" s="336">
        <f t="shared" ca="1" si="37"/>
        <v>8380037.7622999996</v>
      </c>
      <c r="D164" s="335"/>
      <c r="E164" s="336">
        <f t="shared" si="42"/>
        <v>0</v>
      </c>
      <c r="F164" s="336">
        <f t="shared" ca="1" si="34"/>
        <v>-34916.824000000001</v>
      </c>
      <c r="G164" s="336">
        <f t="shared" ca="1" si="38"/>
        <v>34916.824000000001</v>
      </c>
      <c r="H164" s="336">
        <f t="shared" ca="1" si="39"/>
        <v>8414954.5863000005</v>
      </c>
      <c r="I164" s="337">
        <f t="shared" ca="1" si="35"/>
        <v>-8414955</v>
      </c>
    </row>
    <row r="165" spans="1:9">
      <c r="A165" s="335">
        <f t="shared" si="36"/>
        <v>148</v>
      </c>
      <c r="B165" s="340">
        <f t="shared" si="40"/>
        <v>50771</v>
      </c>
      <c r="C165" s="336">
        <f t="shared" ca="1" si="37"/>
        <v>8414954.5863000005</v>
      </c>
      <c r="D165" s="335"/>
      <c r="E165" s="336">
        <f t="shared" si="42"/>
        <v>0</v>
      </c>
      <c r="F165" s="336">
        <f t="shared" ca="1" si="34"/>
        <v>-35062.311000000002</v>
      </c>
      <c r="G165" s="336">
        <f t="shared" ca="1" si="38"/>
        <v>35062.311000000002</v>
      </c>
      <c r="H165" s="336">
        <f t="shared" ca="1" si="39"/>
        <v>8450016.8972999994</v>
      </c>
      <c r="I165" s="337">
        <f t="shared" ca="1" si="35"/>
        <v>-8450017</v>
      </c>
    </row>
    <row r="166" spans="1:9">
      <c r="A166" s="335">
        <f t="shared" si="36"/>
        <v>149</v>
      </c>
      <c r="B166" s="340">
        <f t="shared" si="40"/>
        <v>50802</v>
      </c>
      <c r="C166" s="336">
        <f t="shared" ca="1" si="37"/>
        <v>8450016.8972999994</v>
      </c>
      <c r="D166" s="335"/>
      <c r="E166" s="336">
        <f t="shared" si="42"/>
        <v>0</v>
      </c>
      <c r="F166" s="336">
        <f t="shared" ca="1" si="34"/>
        <v>-35208.404000000002</v>
      </c>
      <c r="G166" s="336">
        <f t="shared" ca="1" si="38"/>
        <v>35208.404000000002</v>
      </c>
      <c r="H166" s="336">
        <f t="shared" ca="1" si="39"/>
        <v>8485225.3013000004</v>
      </c>
      <c r="I166" s="337">
        <f t="shared" ca="1" si="35"/>
        <v>-8485225</v>
      </c>
    </row>
    <row r="167" spans="1:9">
      <c r="A167" s="335">
        <f t="shared" si="36"/>
        <v>150</v>
      </c>
      <c r="B167" s="340">
        <f t="shared" si="40"/>
        <v>50830</v>
      </c>
      <c r="C167" s="336">
        <f t="shared" ca="1" si="37"/>
        <v>8485225.3013000004</v>
      </c>
      <c r="D167" s="335"/>
      <c r="E167" s="336">
        <f t="shared" ca="1" si="42"/>
        <v>865992.5</v>
      </c>
      <c r="F167" s="336">
        <f t="shared" ca="1" si="34"/>
        <v>834245.69700000004</v>
      </c>
      <c r="G167" s="336">
        <f t="shared" ca="1" si="38"/>
        <v>31746.803</v>
      </c>
      <c r="H167" s="336">
        <f t="shared" ca="1" si="39"/>
        <v>7650979.6042999998</v>
      </c>
      <c r="I167" s="337">
        <f t="shared" ca="1" si="35"/>
        <v>-7650980</v>
      </c>
    </row>
    <row r="168" spans="1:9">
      <c r="A168" s="335">
        <f t="shared" si="36"/>
        <v>151</v>
      </c>
      <c r="B168" s="340">
        <f t="shared" si="40"/>
        <v>50861</v>
      </c>
      <c r="C168" s="336">
        <f t="shared" ca="1" si="37"/>
        <v>7650979.6042999998</v>
      </c>
      <c r="D168" s="335"/>
      <c r="E168" s="336">
        <f t="shared" si="42"/>
        <v>0</v>
      </c>
      <c r="F168" s="336">
        <f t="shared" ca="1" si="34"/>
        <v>-31879.081999999999</v>
      </c>
      <c r="G168" s="336">
        <f t="shared" ca="1" si="38"/>
        <v>31879.081999999999</v>
      </c>
      <c r="H168" s="336">
        <f t="shared" ca="1" si="39"/>
        <v>7682858.6863000002</v>
      </c>
      <c r="I168" s="337">
        <f t="shared" ca="1" si="35"/>
        <v>-7682859</v>
      </c>
    </row>
    <row r="169" spans="1:9">
      <c r="A169" s="335">
        <f t="shared" si="36"/>
        <v>152</v>
      </c>
      <c r="B169" s="340">
        <f t="shared" si="40"/>
        <v>50891</v>
      </c>
      <c r="C169" s="336">
        <f t="shared" ca="1" si="37"/>
        <v>7682858.6863000002</v>
      </c>
      <c r="D169" s="335"/>
      <c r="E169" s="336">
        <f t="shared" si="42"/>
        <v>0</v>
      </c>
      <c r="F169" s="336">
        <f t="shared" ca="1" si="34"/>
        <v>-32011.911</v>
      </c>
      <c r="G169" s="336">
        <f t="shared" ca="1" si="38"/>
        <v>32011.911</v>
      </c>
      <c r="H169" s="336">
        <f t="shared" ca="1" si="39"/>
        <v>7714870.5972999996</v>
      </c>
      <c r="I169" s="337">
        <f t="shared" ca="1" si="35"/>
        <v>-7714871</v>
      </c>
    </row>
    <row r="170" spans="1:9">
      <c r="A170" s="335">
        <f t="shared" si="36"/>
        <v>153</v>
      </c>
      <c r="B170" s="340">
        <f t="shared" si="40"/>
        <v>50922</v>
      </c>
      <c r="C170" s="336">
        <f t="shared" ca="1" si="37"/>
        <v>7714870.5972999996</v>
      </c>
      <c r="D170" s="335"/>
      <c r="E170" s="336">
        <f t="shared" si="42"/>
        <v>0</v>
      </c>
      <c r="F170" s="336">
        <f t="shared" ca="1" si="34"/>
        <v>-32145.294000000002</v>
      </c>
      <c r="G170" s="336">
        <f t="shared" ca="1" si="38"/>
        <v>32145.294000000002</v>
      </c>
      <c r="H170" s="336">
        <f t="shared" ca="1" si="39"/>
        <v>7747015.8913000003</v>
      </c>
      <c r="I170" s="337">
        <f t="shared" ca="1" si="35"/>
        <v>-7747016</v>
      </c>
    </row>
    <row r="171" spans="1:9">
      <c r="A171" s="335">
        <f t="shared" si="36"/>
        <v>154</v>
      </c>
      <c r="B171" s="340">
        <f t="shared" si="40"/>
        <v>50952</v>
      </c>
      <c r="C171" s="336">
        <f t="shared" ca="1" si="37"/>
        <v>7747015.8913000003</v>
      </c>
      <c r="D171" s="335"/>
      <c r="E171" s="336">
        <f t="shared" si="42"/>
        <v>0</v>
      </c>
      <c r="F171" s="336">
        <f t="shared" ca="1" si="34"/>
        <v>-32279.233</v>
      </c>
      <c r="G171" s="336">
        <f t="shared" ca="1" si="38"/>
        <v>32279.233</v>
      </c>
      <c r="H171" s="336">
        <f t="shared" ca="1" si="39"/>
        <v>7779295.1243000003</v>
      </c>
      <c r="I171" s="337">
        <f t="shared" ca="1" si="35"/>
        <v>-7779295</v>
      </c>
    </row>
    <row r="172" spans="1:9">
      <c r="A172" s="335">
        <f t="shared" si="36"/>
        <v>155</v>
      </c>
      <c r="B172" s="340">
        <f t="shared" si="40"/>
        <v>50983</v>
      </c>
      <c r="C172" s="336">
        <f t="shared" ca="1" si="37"/>
        <v>7779295.1243000003</v>
      </c>
      <c r="D172" s="335"/>
      <c r="E172" s="336">
        <f t="shared" si="42"/>
        <v>0</v>
      </c>
      <c r="F172" s="336">
        <f t="shared" ca="1" si="34"/>
        <v>-32413.73</v>
      </c>
      <c r="G172" s="336">
        <f t="shared" ca="1" si="38"/>
        <v>32413.73</v>
      </c>
      <c r="H172" s="336">
        <f t="shared" ca="1" si="39"/>
        <v>7811708.8542999998</v>
      </c>
      <c r="I172" s="337">
        <f t="shared" ca="1" si="35"/>
        <v>-7811709</v>
      </c>
    </row>
    <row r="173" spans="1:9">
      <c r="A173" s="335">
        <f t="shared" si="36"/>
        <v>156</v>
      </c>
      <c r="B173" s="340">
        <f t="shared" si="40"/>
        <v>51014</v>
      </c>
      <c r="C173" s="336">
        <f t="shared" ca="1" si="37"/>
        <v>7811708.8542999998</v>
      </c>
      <c r="D173" s="336">
        <f ca="1">IF(H173&lt;0,0,0.5*(K30-L30))</f>
        <v>884251</v>
      </c>
      <c r="E173" s="336">
        <f t="shared" ca="1" si="42"/>
        <v>865992.5</v>
      </c>
      <c r="F173" s="336">
        <f t="shared" ca="1" si="34"/>
        <v>837052.01500000001</v>
      </c>
      <c r="G173" s="336">
        <f t="shared" ca="1" si="38"/>
        <v>28940.485000000001</v>
      </c>
      <c r="H173" s="336">
        <f t="shared" ca="1" si="39"/>
        <v>6974656.8393000001</v>
      </c>
      <c r="I173" s="337">
        <f t="shared" ca="1" si="35"/>
        <v>-6090406</v>
      </c>
    </row>
    <row r="174" spans="1:9">
      <c r="A174" s="335">
        <f t="shared" si="36"/>
        <v>157</v>
      </c>
      <c r="B174" s="340">
        <f t="shared" si="40"/>
        <v>51044</v>
      </c>
      <c r="C174" s="336">
        <f t="shared" ca="1" si="37"/>
        <v>6974656.8393000001</v>
      </c>
      <c r="D174" s="336"/>
      <c r="E174" s="336">
        <f t="shared" ref="E174:E185" si="43">IF($D$10=1,IF(OR(MONTH(B174)=MONTH(EDATE($D$7,0)),MONTH(B174)=MONTH(EDATE($D$7,6))),(MIN($D$173,H173)),0),IF($D$10=0,IF(OR(MONTH(B174)=MONTH(EDATE($D$7,5)),MONTH(B174)=MONTH(EDATE($D$7,11))),(MIN($D$173,H173)),0)))</f>
        <v>0</v>
      </c>
      <c r="F174" s="336">
        <f t="shared" ca="1" si="34"/>
        <v>-29061.07</v>
      </c>
      <c r="G174" s="336">
        <f t="shared" ca="1" si="38"/>
        <v>29061.07</v>
      </c>
      <c r="H174" s="336">
        <f t="shared" ca="1" si="39"/>
        <v>7003717.9093000004</v>
      </c>
      <c r="I174" s="337">
        <f t="shared" ca="1" si="35"/>
        <v>-7003718</v>
      </c>
    </row>
    <row r="175" spans="1:9">
      <c r="A175" s="335">
        <f t="shared" si="36"/>
        <v>158</v>
      </c>
      <c r="B175" s="340">
        <f t="shared" si="40"/>
        <v>51075</v>
      </c>
      <c r="C175" s="336">
        <f t="shared" ca="1" si="37"/>
        <v>7003717.9093000004</v>
      </c>
      <c r="D175" s="335"/>
      <c r="E175" s="336">
        <f t="shared" si="43"/>
        <v>0</v>
      </c>
      <c r="F175" s="336">
        <f t="shared" ca="1" si="34"/>
        <v>-29182.157999999999</v>
      </c>
      <c r="G175" s="336">
        <f t="shared" ca="1" si="38"/>
        <v>29182.157999999999</v>
      </c>
      <c r="H175" s="336">
        <f t="shared" ca="1" si="39"/>
        <v>7032900.0673000002</v>
      </c>
      <c r="I175" s="337">
        <f t="shared" ca="1" si="35"/>
        <v>-7032900</v>
      </c>
    </row>
    <row r="176" spans="1:9">
      <c r="A176" s="335">
        <f t="shared" si="36"/>
        <v>159</v>
      </c>
      <c r="B176" s="340">
        <f t="shared" si="40"/>
        <v>51105</v>
      </c>
      <c r="C176" s="336">
        <f t="shared" ca="1" si="37"/>
        <v>7032900.0673000002</v>
      </c>
      <c r="D176" s="335"/>
      <c r="E176" s="336">
        <f t="shared" si="43"/>
        <v>0</v>
      </c>
      <c r="F176" s="336">
        <f t="shared" ca="1" si="34"/>
        <v>-29303.75</v>
      </c>
      <c r="G176" s="336">
        <f t="shared" ca="1" si="38"/>
        <v>29303.75</v>
      </c>
      <c r="H176" s="336">
        <f t="shared" ca="1" si="39"/>
        <v>7062203.8173000002</v>
      </c>
      <c r="I176" s="337">
        <f t="shared" ca="1" si="35"/>
        <v>-7062204</v>
      </c>
    </row>
    <row r="177" spans="1:9">
      <c r="A177" s="335">
        <f t="shared" si="36"/>
        <v>160</v>
      </c>
      <c r="B177" s="340">
        <f t="shared" si="40"/>
        <v>51136</v>
      </c>
      <c r="C177" s="336">
        <f t="shared" ca="1" si="37"/>
        <v>7062203.8173000002</v>
      </c>
      <c r="D177" s="335"/>
      <c r="E177" s="336">
        <f t="shared" si="43"/>
        <v>0</v>
      </c>
      <c r="F177" s="336">
        <f t="shared" ca="1" si="34"/>
        <v>-29425.848999999998</v>
      </c>
      <c r="G177" s="336">
        <f t="shared" ca="1" si="38"/>
        <v>29425.848999999998</v>
      </c>
      <c r="H177" s="336">
        <f t="shared" ca="1" si="39"/>
        <v>7091629.6662999997</v>
      </c>
      <c r="I177" s="337">
        <f t="shared" ca="1" si="35"/>
        <v>-7091630</v>
      </c>
    </row>
    <row r="178" spans="1:9">
      <c r="A178" s="335">
        <f t="shared" si="36"/>
        <v>161</v>
      </c>
      <c r="B178" s="340">
        <f t="shared" si="40"/>
        <v>51167</v>
      </c>
      <c r="C178" s="336">
        <f t="shared" ca="1" si="37"/>
        <v>7091629.6662999997</v>
      </c>
      <c r="D178" s="335"/>
      <c r="E178" s="336">
        <f t="shared" si="43"/>
        <v>0</v>
      </c>
      <c r="F178" s="336">
        <f t="shared" ca="1" si="34"/>
        <v>-29548.456999999999</v>
      </c>
      <c r="G178" s="336">
        <f t="shared" ca="1" si="38"/>
        <v>29548.456999999999</v>
      </c>
      <c r="H178" s="336">
        <f t="shared" ca="1" si="39"/>
        <v>7121178.1233000001</v>
      </c>
      <c r="I178" s="337">
        <f t="shared" ca="1" si="35"/>
        <v>-7121178</v>
      </c>
    </row>
    <row r="179" spans="1:9">
      <c r="A179" s="335">
        <f t="shared" si="36"/>
        <v>162</v>
      </c>
      <c r="B179" s="340">
        <f t="shared" si="40"/>
        <v>51196</v>
      </c>
      <c r="C179" s="336">
        <f t="shared" ca="1" si="37"/>
        <v>7121178.1233000001</v>
      </c>
      <c r="D179" s="335"/>
      <c r="E179" s="336">
        <f t="shared" ca="1" si="43"/>
        <v>884251</v>
      </c>
      <c r="F179" s="336">
        <f t="shared" ca="1" si="34"/>
        <v>858263.804</v>
      </c>
      <c r="G179" s="336">
        <f t="shared" ca="1" si="38"/>
        <v>25987.196</v>
      </c>
      <c r="H179" s="336">
        <f t="shared" ca="1" si="39"/>
        <v>6262914.3192999996</v>
      </c>
      <c r="I179" s="337">
        <f t="shared" ca="1" si="35"/>
        <v>-6262914</v>
      </c>
    </row>
    <row r="180" spans="1:9">
      <c r="A180" s="335">
        <f t="shared" si="36"/>
        <v>163</v>
      </c>
      <c r="B180" s="340">
        <f t="shared" si="40"/>
        <v>51227</v>
      </c>
      <c r="C180" s="336">
        <f t="shared" ca="1" si="37"/>
        <v>6262914.3192999996</v>
      </c>
      <c r="D180" s="335"/>
      <c r="E180" s="336">
        <f t="shared" si="43"/>
        <v>0</v>
      </c>
      <c r="F180" s="336">
        <f t="shared" ca="1" si="34"/>
        <v>-26095.475999999999</v>
      </c>
      <c r="G180" s="336">
        <f t="shared" ca="1" si="38"/>
        <v>26095.475999999999</v>
      </c>
      <c r="H180" s="336">
        <f t="shared" ca="1" si="39"/>
        <v>6289009.7953000003</v>
      </c>
      <c r="I180" s="337">
        <f t="shared" ca="1" si="35"/>
        <v>-6289010</v>
      </c>
    </row>
    <row r="181" spans="1:9">
      <c r="A181" s="335">
        <f t="shared" si="36"/>
        <v>164</v>
      </c>
      <c r="B181" s="340">
        <f t="shared" si="40"/>
        <v>51257</v>
      </c>
      <c r="C181" s="336">
        <f t="shared" ca="1" si="37"/>
        <v>6289009.7953000003</v>
      </c>
      <c r="D181" s="335"/>
      <c r="E181" s="336">
        <f t="shared" si="43"/>
        <v>0</v>
      </c>
      <c r="F181" s="336">
        <f t="shared" ca="1" si="34"/>
        <v>-26204.206999999999</v>
      </c>
      <c r="G181" s="336">
        <f t="shared" ca="1" si="38"/>
        <v>26204.206999999999</v>
      </c>
      <c r="H181" s="336">
        <f t="shared" ca="1" si="39"/>
        <v>6315214.0022999998</v>
      </c>
      <c r="I181" s="337">
        <f t="shared" ca="1" si="35"/>
        <v>-6315214</v>
      </c>
    </row>
    <row r="182" spans="1:9">
      <c r="A182" s="335">
        <f t="shared" si="36"/>
        <v>165</v>
      </c>
      <c r="B182" s="340">
        <f t="shared" si="40"/>
        <v>51288</v>
      </c>
      <c r="C182" s="336">
        <f t="shared" ca="1" si="37"/>
        <v>6315214.0022999998</v>
      </c>
      <c r="D182" s="335"/>
      <c r="E182" s="336">
        <f t="shared" si="43"/>
        <v>0</v>
      </c>
      <c r="F182" s="336">
        <f t="shared" ca="1" si="34"/>
        <v>-26313.392</v>
      </c>
      <c r="G182" s="336">
        <f t="shared" ca="1" si="38"/>
        <v>26313.392</v>
      </c>
      <c r="H182" s="336">
        <f t="shared" ca="1" si="39"/>
        <v>6341527.3942999998</v>
      </c>
      <c r="I182" s="337">
        <f t="shared" ca="1" si="35"/>
        <v>-6341527</v>
      </c>
    </row>
    <row r="183" spans="1:9">
      <c r="A183" s="335">
        <f t="shared" si="36"/>
        <v>166</v>
      </c>
      <c r="B183" s="340">
        <f t="shared" si="40"/>
        <v>51318</v>
      </c>
      <c r="C183" s="336">
        <f t="shared" ca="1" si="37"/>
        <v>6341527.3942999998</v>
      </c>
      <c r="D183" s="335"/>
      <c r="E183" s="336">
        <f t="shared" si="43"/>
        <v>0</v>
      </c>
      <c r="F183" s="336">
        <f t="shared" ca="1" si="34"/>
        <v>-26423.030999999999</v>
      </c>
      <c r="G183" s="336">
        <f t="shared" ca="1" si="38"/>
        <v>26423.030999999999</v>
      </c>
      <c r="H183" s="336">
        <f t="shared" ca="1" si="39"/>
        <v>6367950.4253000002</v>
      </c>
      <c r="I183" s="337">
        <f t="shared" ca="1" si="35"/>
        <v>-6367950</v>
      </c>
    </row>
    <row r="184" spans="1:9">
      <c r="A184" s="335">
        <f t="shared" si="36"/>
        <v>167</v>
      </c>
      <c r="B184" s="340">
        <f t="shared" si="40"/>
        <v>51349</v>
      </c>
      <c r="C184" s="336">
        <f t="shared" ca="1" si="37"/>
        <v>6367950.4253000002</v>
      </c>
      <c r="D184" s="335"/>
      <c r="E184" s="336">
        <f t="shared" si="43"/>
        <v>0</v>
      </c>
      <c r="F184" s="336">
        <f t="shared" ca="1" si="34"/>
        <v>-26533.127</v>
      </c>
      <c r="G184" s="336">
        <f t="shared" ca="1" si="38"/>
        <v>26533.127</v>
      </c>
      <c r="H184" s="336">
        <f t="shared" ca="1" si="39"/>
        <v>6394483.5522999996</v>
      </c>
      <c r="I184" s="337">
        <f t="shared" ca="1" si="35"/>
        <v>-6394484</v>
      </c>
    </row>
    <row r="185" spans="1:9">
      <c r="A185" s="335">
        <f t="shared" si="36"/>
        <v>168</v>
      </c>
      <c r="B185" s="340">
        <f t="shared" si="40"/>
        <v>51380</v>
      </c>
      <c r="C185" s="336">
        <f t="shared" ca="1" si="37"/>
        <v>6394483.5522999996</v>
      </c>
      <c r="D185" s="336">
        <f ca="1">IF(H185&lt;0,0,0.5*(K31-L31))</f>
        <v>902996.5</v>
      </c>
      <c r="E185" s="336">
        <f t="shared" ca="1" si="43"/>
        <v>884251</v>
      </c>
      <c r="F185" s="336">
        <f t="shared" ca="1" si="34"/>
        <v>861291.69799999997</v>
      </c>
      <c r="G185" s="336">
        <f t="shared" ca="1" si="38"/>
        <v>22959.302</v>
      </c>
      <c r="H185" s="336">
        <f t="shared" ca="1" si="39"/>
        <v>5533191.8542999998</v>
      </c>
      <c r="I185" s="337">
        <f t="shared" ca="1" si="35"/>
        <v>-4630195</v>
      </c>
    </row>
    <row r="186" spans="1:9">
      <c r="A186" s="335">
        <f t="shared" si="36"/>
        <v>169</v>
      </c>
      <c r="B186" s="340">
        <f t="shared" si="40"/>
        <v>51410</v>
      </c>
      <c r="C186" s="336">
        <f t="shared" ca="1" si="37"/>
        <v>5533191.8542999998</v>
      </c>
      <c r="D186" s="336"/>
      <c r="E186" s="336">
        <f t="shared" ref="E186:E197" si="44">IF($D$10=1,IF(OR(MONTH(B186)=MONTH(EDATE($D$7,0)),MONTH(B186)=MONTH(EDATE($D$7,6))),(MIN($D$185,H185)),0),IF($D$10=0,IF(OR(MONTH(B186)=MONTH(EDATE($D$7,5)),MONTH(B186)=MONTH(EDATE($D$7,11))),(MIN($D$185,H185)),0)))</f>
        <v>0</v>
      </c>
      <c r="F186" s="336">
        <f t="shared" ca="1" si="34"/>
        <v>-23054.966</v>
      </c>
      <c r="G186" s="336">
        <f t="shared" ca="1" si="38"/>
        <v>23054.966</v>
      </c>
      <c r="H186" s="336">
        <f t="shared" ca="1" si="39"/>
        <v>5556246.8202999998</v>
      </c>
      <c r="I186" s="337">
        <f t="shared" ca="1" si="35"/>
        <v>-5556247</v>
      </c>
    </row>
    <row r="187" spans="1:9">
      <c r="A187" s="335">
        <f t="shared" si="36"/>
        <v>170</v>
      </c>
      <c r="B187" s="340">
        <f t="shared" si="40"/>
        <v>51441</v>
      </c>
      <c r="C187" s="336">
        <f t="shared" ca="1" si="37"/>
        <v>5556246.8202999998</v>
      </c>
      <c r="D187" s="335"/>
      <c r="E187" s="336">
        <f t="shared" si="44"/>
        <v>0</v>
      </c>
      <c r="F187" s="336">
        <f t="shared" ca="1" si="34"/>
        <v>-23151.027999999998</v>
      </c>
      <c r="G187" s="336">
        <f t="shared" ca="1" si="38"/>
        <v>23151.027999999998</v>
      </c>
      <c r="H187" s="336">
        <f t="shared" ca="1" si="39"/>
        <v>5579397.8482999997</v>
      </c>
      <c r="I187" s="337">
        <f t="shared" ca="1" si="35"/>
        <v>-5579398</v>
      </c>
    </row>
    <row r="188" spans="1:9">
      <c r="A188" s="335">
        <f t="shared" si="36"/>
        <v>171</v>
      </c>
      <c r="B188" s="340">
        <f t="shared" si="40"/>
        <v>51471</v>
      </c>
      <c r="C188" s="336">
        <f t="shared" ca="1" si="37"/>
        <v>5579397.8482999997</v>
      </c>
      <c r="D188" s="335"/>
      <c r="E188" s="336">
        <f t="shared" si="44"/>
        <v>0</v>
      </c>
      <c r="F188" s="336">
        <f t="shared" ca="1" si="34"/>
        <v>-23247.491000000002</v>
      </c>
      <c r="G188" s="336">
        <f t="shared" ca="1" si="38"/>
        <v>23247.491000000002</v>
      </c>
      <c r="H188" s="336">
        <f t="shared" ca="1" si="39"/>
        <v>5602645.3393000001</v>
      </c>
      <c r="I188" s="337">
        <f t="shared" ca="1" si="35"/>
        <v>-5602645</v>
      </c>
    </row>
    <row r="189" spans="1:9">
      <c r="A189" s="335">
        <f t="shared" si="36"/>
        <v>172</v>
      </c>
      <c r="B189" s="340">
        <f t="shared" si="40"/>
        <v>51502</v>
      </c>
      <c r="C189" s="336">
        <f t="shared" ca="1" si="37"/>
        <v>5602645.3393000001</v>
      </c>
      <c r="D189" s="335"/>
      <c r="E189" s="336">
        <f t="shared" si="44"/>
        <v>0</v>
      </c>
      <c r="F189" s="336">
        <f t="shared" ca="1" si="34"/>
        <v>-23344.356</v>
      </c>
      <c r="G189" s="336">
        <f t="shared" ca="1" si="38"/>
        <v>23344.356</v>
      </c>
      <c r="H189" s="336">
        <f t="shared" ca="1" si="39"/>
        <v>5625989.6952999998</v>
      </c>
      <c r="I189" s="337">
        <f t="shared" ca="1" si="35"/>
        <v>-5625990</v>
      </c>
    </row>
    <row r="190" spans="1:9">
      <c r="A190" s="335">
        <f t="shared" si="36"/>
        <v>173</v>
      </c>
      <c r="B190" s="340">
        <f t="shared" si="40"/>
        <v>51533</v>
      </c>
      <c r="C190" s="336">
        <f t="shared" ca="1" si="37"/>
        <v>5625989.6952999998</v>
      </c>
      <c r="D190" s="335"/>
      <c r="E190" s="336">
        <f t="shared" si="44"/>
        <v>0</v>
      </c>
      <c r="F190" s="336">
        <f t="shared" ca="1" si="34"/>
        <v>-23441.624</v>
      </c>
      <c r="G190" s="336">
        <f t="shared" ca="1" si="38"/>
        <v>23441.624</v>
      </c>
      <c r="H190" s="336">
        <f t="shared" ca="1" si="39"/>
        <v>5649431.3192999996</v>
      </c>
      <c r="I190" s="337">
        <f t="shared" ca="1" si="35"/>
        <v>-5649431</v>
      </c>
    </row>
    <row r="191" spans="1:9">
      <c r="A191" s="335">
        <f t="shared" si="36"/>
        <v>174</v>
      </c>
      <c r="B191" s="340">
        <f t="shared" si="40"/>
        <v>51561</v>
      </c>
      <c r="C191" s="336">
        <f t="shared" ca="1" si="37"/>
        <v>5649431.3192999996</v>
      </c>
      <c r="D191" s="335"/>
      <c r="E191" s="336">
        <f t="shared" ca="1" si="44"/>
        <v>902996.5</v>
      </c>
      <c r="F191" s="336">
        <f t="shared" ca="1" si="34"/>
        <v>883219.68799999997</v>
      </c>
      <c r="G191" s="336">
        <f t="shared" ca="1" si="38"/>
        <v>19776.812000000002</v>
      </c>
      <c r="H191" s="336">
        <f t="shared" ca="1" si="39"/>
        <v>4766211.6312999995</v>
      </c>
      <c r="I191" s="337">
        <f t="shared" ca="1" si="35"/>
        <v>-4766212</v>
      </c>
    </row>
    <row r="192" spans="1:9">
      <c r="A192" s="335">
        <f t="shared" si="36"/>
        <v>175</v>
      </c>
      <c r="B192" s="340">
        <f t="shared" si="40"/>
        <v>51592</v>
      </c>
      <c r="C192" s="336">
        <f t="shared" ca="1" si="37"/>
        <v>4766211.6312999995</v>
      </c>
      <c r="D192" s="335"/>
      <c r="E192" s="336">
        <f t="shared" si="44"/>
        <v>0</v>
      </c>
      <c r="F192" s="336">
        <f t="shared" ca="1" si="34"/>
        <v>-19859.215</v>
      </c>
      <c r="G192" s="336">
        <f t="shared" ca="1" si="38"/>
        <v>19859.215</v>
      </c>
      <c r="H192" s="336">
        <f t="shared" ca="1" si="39"/>
        <v>4786070.8463000003</v>
      </c>
      <c r="I192" s="337">
        <f t="shared" ca="1" si="35"/>
        <v>-4786071</v>
      </c>
    </row>
    <row r="193" spans="1:9">
      <c r="A193" s="335">
        <f t="shared" si="36"/>
        <v>176</v>
      </c>
      <c r="B193" s="340">
        <f t="shared" si="40"/>
        <v>51622</v>
      </c>
      <c r="C193" s="336">
        <f t="shared" ca="1" si="37"/>
        <v>4786070.8463000003</v>
      </c>
      <c r="D193" s="335"/>
      <c r="E193" s="336">
        <f t="shared" si="44"/>
        <v>0</v>
      </c>
      <c r="F193" s="336">
        <f t="shared" ca="1" si="34"/>
        <v>-19941.962</v>
      </c>
      <c r="G193" s="336">
        <f t="shared" ca="1" si="38"/>
        <v>19941.962</v>
      </c>
      <c r="H193" s="336">
        <f t="shared" ca="1" si="39"/>
        <v>4806012.8082999997</v>
      </c>
      <c r="I193" s="337">
        <f t="shared" ca="1" si="35"/>
        <v>-4806013</v>
      </c>
    </row>
    <row r="194" spans="1:9">
      <c r="A194" s="335">
        <f t="shared" si="36"/>
        <v>177</v>
      </c>
      <c r="B194" s="340">
        <f t="shared" si="40"/>
        <v>51653</v>
      </c>
      <c r="C194" s="336">
        <f t="shared" ca="1" si="37"/>
        <v>4806012.8082999997</v>
      </c>
      <c r="D194" s="335"/>
      <c r="E194" s="336">
        <f t="shared" si="44"/>
        <v>0</v>
      </c>
      <c r="F194" s="336">
        <f t="shared" ca="1" si="34"/>
        <v>-20025.053</v>
      </c>
      <c r="G194" s="336">
        <f t="shared" ca="1" si="38"/>
        <v>20025.053</v>
      </c>
      <c r="H194" s="336">
        <f t="shared" ca="1" si="39"/>
        <v>4826037.8613</v>
      </c>
      <c r="I194" s="337">
        <f t="shared" ca="1" si="35"/>
        <v>-4826038</v>
      </c>
    </row>
    <row r="195" spans="1:9">
      <c r="A195" s="335">
        <f t="shared" si="36"/>
        <v>178</v>
      </c>
      <c r="B195" s="340">
        <f t="shared" si="40"/>
        <v>51683</v>
      </c>
      <c r="C195" s="336">
        <f t="shared" ca="1" si="37"/>
        <v>4826037.8613</v>
      </c>
      <c r="D195" s="335"/>
      <c r="E195" s="336">
        <f t="shared" si="44"/>
        <v>0</v>
      </c>
      <c r="F195" s="336">
        <f t="shared" ca="1" si="34"/>
        <v>-20108.491000000002</v>
      </c>
      <c r="G195" s="336">
        <f t="shared" ca="1" si="38"/>
        <v>20108.491000000002</v>
      </c>
      <c r="H195" s="336">
        <f t="shared" ca="1" si="39"/>
        <v>4846146.3523000004</v>
      </c>
      <c r="I195" s="337">
        <f t="shared" ca="1" si="35"/>
        <v>-4846146</v>
      </c>
    </row>
    <row r="196" spans="1:9">
      <c r="A196" s="335">
        <f t="shared" si="36"/>
        <v>179</v>
      </c>
      <c r="B196" s="340">
        <f t="shared" si="40"/>
        <v>51714</v>
      </c>
      <c r="C196" s="336">
        <f t="shared" ca="1" si="37"/>
        <v>4846146.3523000004</v>
      </c>
      <c r="D196" s="335"/>
      <c r="E196" s="336">
        <f t="shared" si="44"/>
        <v>0</v>
      </c>
      <c r="F196" s="336">
        <f t="shared" ca="1" si="34"/>
        <v>-20192.276000000002</v>
      </c>
      <c r="G196" s="336">
        <f t="shared" ca="1" si="38"/>
        <v>20192.276000000002</v>
      </c>
      <c r="H196" s="336">
        <f t="shared" ca="1" si="39"/>
        <v>4866338.6283</v>
      </c>
      <c r="I196" s="337">
        <f t="shared" ca="1" si="35"/>
        <v>-4866339</v>
      </c>
    </row>
    <row r="197" spans="1:9">
      <c r="A197" s="335">
        <f t="shared" si="36"/>
        <v>180</v>
      </c>
      <c r="B197" s="340">
        <f t="shared" si="40"/>
        <v>51745</v>
      </c>
      <c r="C197" s="336">
        <f t="shared" ca="1" si="37"/>
        <v>4866338.6283</v>
      </c>
      <c r="D197" s="336">
        <f ca="1">IF(H197&lt;0,0,0.5*(K32-L32))</f>
        <v>922242.5</v>
      </c>
      <c r="E197" s="336">
        <f t="shared" ca="1" si="44"/>
        <v>902996.5</v>
      </c>
      <c r="F197" s="336">
        <f t="shared" ca="1" si="34"/>
        <v>886482.57400000002</v>
      </c>
      <c r="G197" s="336">
        <f t="shared" ca="1" si="38"/>
        <v>16513.925999999999</v>
      </c>
      <c r="H197" s="336">
        <f t="shared" ca="1" si="39"/>
        <v>3979856.0543</v>
      </c>
      <c r="I197" s="337">
        <f t="shared" ca="1" si="35"/>
        <v>-3057614</v>
      </c>
    </row>
    <row r="198" spans="1:9">
      <c r="A198" s="335">
        <f t="shared" si="36"/>
        <v>181</v>
      </c>
      <c r="B198" s="340">
        <f t="shared" si="40"/>
        <v>51775</v>
      </c>
      <c r="C198" s="336">
        <f t="shared" ca="1" si="37"/>
        <v>3979856.0543</v>
      </c>
      <c r="D198" s="336"/>
      <c r="E198" s="336">
        <f t="shared" ref="E198:E209" si="45">IF($D$10=1,IF(OR(MONTH(B198)=MONTH(EDATE($D$7,0)),MONTH(B198)=MONTH(EDATE($D$7,6))),(MIN($D$197,H197)),0),IF($D$10=0,IF(OR(MONTH(B198)=MONTH(EDATE($D$7,5)),MONTH(B198)=MONTH(EDATE($D$7,11))),(MIN($D$197,H197)),0)))</f>
        <v>0</v>
      </c>
      <c r="F198" s="336">
        <f t="shared" ca="1" si="34"/>
        <v>-16582.734</v>
      </c>
      <c r="G198" s="336">
        <f t="shared" ca="1" si="38"/>
        <v>16582.734</v>
      </c>
      <c r="H198" s="336">
        <f t="shared" ca="1" si="39"/>
        <v>3996438.7883000001</v>
      </c>
      <c r="I198" s="337">
        <f t="shared" ca="1" si="35"/>
        <v>-3996439</v>
      </c>
    </row>
    <row r="199" spans="1:9">
      <c r="A199" s="335">
        <f t="shared" si="36"/>
        <v>182</v>
      </c>
      <c r="B199" s="340">
        <f t="shared" si="40"/>
        <v>51806</v>
      </c>
      <c r="C199" s="336">
        <f t="shared" ca="1" si="37"/>
        <v>3996438.7883000001</v>
      </c>
      <c r="D199" s="335"/>
      <c r="E199" s="336">
        <f t="shared" si="45"/>
        <v>0</v>
      </c>
      <c r="F199" s="336">
        <f t="shared" ca="1" si="34"/>
        <v>-16651.828000000001</v>
      </c>
      <c r="G199" s="336">
        <f t="shared" ca="1" si="38"/>
        <v>16651.828000000001</v>
      </c>
      <c r="H199" s="336">
        <f t="shared" ca="1" si="39"/>
        <v>4013090.6162999999</v>
      </c>
      <c r="I199" s="337">
        <f t="shared" ca="1" si="35"/>
        <v>-4013091</v>
      </c>
    </row>
    <row r="200" spans="1:9">
      <c r="A200" s="335">
        <f t="shared" si="36"/>
        <v>183</v>
      </c>
      <c r="B200" s="340">
        <f t="shared" si="40"/>
        <v>51836</v>
      </c>
      <c r="C200" s="336">
        <f t="shared" ca="1" si="37"/>
        <v>4013090.6162999999</v>
      </c>
      <c r="D200" s="335"/>
      <c r="E200" s="336">
        <f t="shared" si="45"/>
        <v>0</v>
      </c>
      <c r="F200" s="336">
        <f t="shared" ca="1" si="34"/>
        <v>-16721.210999999999</v>
      </c>
      <c r="G200" s="336">
        <f t="shared" ca="1" si="38"/>
        <v>16721.210999999999</v>
      </c>
      <c r="H200" s="336">
        <f t="shared" ca="1" si="39"/>
        <v>4029811.8273</v>
      </c>
      <c r="I200" s="337">
        <f t="shared" ca="1" si="35"/>
        <v>-4029812</v>
      </c>
    </row>
    <row r="201" spans="1:9">
      <c r="A201" s="335">
        <f t="shared" si="36"/>
        <v>184</v>
      </c>
      <c r="B201" s="340">
        <f t="shared" si="40"/>
        <v>51867</v>
      </c>
      <c r="C201" s="336">
        <f t="shared" ca="1" si="37"/>
        <v>4029811.8273</v>
      </c>
      <c r="D201" s="335"/>
      <c r="E201" s="336">
        <f t="shared" si="45"/>
        <v>0</v>
      </c>
      <c r="F201" s="336">
        <f t="shared" ca="1" si="34"/>
        <v>-16790.883000000002</v>
      </c>
      <c r="G201" s="336">
        <f t="shared" ca="1" si="38"/>
        <v>16790.883000000002</v>
      </c>
      <c r="H201" s="336">
        <f t="shared" ca="1" si="39"/>
        <v>4046602.7102999999</v>
      </c>
      <c r="I201" s="337">
        <f t="shared" ca="1" si="35"/>
        <v>-4046603</v>
      </c>
    </row>
    <row r="202" spans="1:9">
      <c r="A202" s="335">
        <f t="shared" si="36"/>
        <v>185</v>
      </c>
      <c r="B202" s="340">
        <f t="shared" si="40"/>
        <v>51898</v>
      </c>
      <c r="C202" s="336">
        <f t="shared" ca="1" si="37"/>
        <v>4046602.7102999999</v>
      </c>
      <c r="D202" s="335"/>
      <c r="E202" s="336">
        <f t="shared" si="45"/>
        <v>0</v>
      </c>
      <c r="F202" s="336">
        <f t="shared" ca="1" si="34"/>
        <v>-16860.845000000001</v>
      </c>
      <c r="G202" s="336">
        <f t="shared" ca="1" si="38"/>
        <v>16860.845000000001</v>
      </c>
      <c r="H202" s="336">
        <f t="shared" ca="1" si="39"/>
        <v>4063463.5553000001</v>
      </c>
      <c r="I202" s="337">
        <f t="shared" ca="1" si="35"/>
        <v>-4063464</v>
      </c>
    </row>
    <row r="203" spans="1:9">
      <c r="A203" s="335">
        <f t="shared" si="36"/>
        <v>186</v>
      </c>
      <c r="B203" s="340">
        <f t="shared" si="40"/>
        <v>51926</v>
      </c>
      <c r="C203" s="336">
        <f t="shared" ca="1" si="37"/>
        <v>4063463.5553000001</v>
      </c>
      <c r="D203" s="335"/>
      <c r="E203" s="336">
        <f t="shared" ca="1" si="45"/>
        <v>922242.5</v>
      </c>
      <c r="F203" s="336">
        <f t="shared" ca="1" si="34"/>
        <v>909154.07900000003</v>
      </c>
      <c r="G203" s="336">
        <f t="shared" ca="1" si="38"/>
        <v>13088.421</v>
      </c>
      <c r="H203" s="336">
        <f t="shared" ca="1" si="39"/>
        <v>3154309.4763000002</v>
      </c>
      <c r="I203" s="337">
        <f t="shared" ca="1" si="35"/>
        <v>-3154309</v>
      </c>
    </row>
    <row r="204" spans="1:9">
      <c r="A204" s="335">
        <f t="shared" si="36"/>
        <v>187</v>
      </c>
      <c r="B204" s="340">
        <f t="shared" si="40"/>
        <v>51957</v>
      </c>
      <c r="C204" s="336">
        <f t="shared" ca="1" si="37"/>
        <v>3154309.4763000002</v>
      </c>
      <c r="D204" s="335"/>
      <c r="E204" s="336">
        <f t="shared" si="45"/>
        <v>0</v>
      </c>
      <c r="F204" s="336">
        <f t="shared" ca="1" si="34"/>
        <v>-13142.956</v>
      </c>
      <c r="G204" s="336">
        <f t="shared" ca="1" si="38"/>
        <v>13142.956</v>
      </c>
      <c r="H204" s="336">
        <f t="shared" ca="1" si="39"/>
        <v>3167452.4323</v>
      </c>
      <c r="I204" s="337">
        <f t="shared" ca="1" si="35"/>
        <v>-3167452</v>
      </c>
    </row>
    <row r="205" spans="1:9">
      <c r="A205" s="335">
        <f t="shared" si="36"/>
        <v>188</v>
      </c>
      <c r="B205" s="340">
        <f t="shared" si="40"/>
        <v>51987</v>
      </c>
      <c r="C205" s="336">
        <f t="shared" ca="1" si="37"/>
        <v>3167452.4323</v>
      </c>
      <c r="D205" s="335"/>
      <c r="E205" s="336">
        <f t="shared" si="45"/>
        <v>0</v>
      </c>
      <c r="F205" s="336">
        <f t="shared" ca="1" si="34"/>
        <v>-13197.718000000001</v>
      </c>
      <c r="G205" s="336">
        <f t="shared" ca="1" si="38"/>
        <v>13197.718000000001</v>
      </c>
      <c r="H205" s="336">
        <f t="shared" ca="1" si="39"/>
        <v>3180650.1502999999</v>
      </c>
      <c r="I205" s="337">
        <f t="shared" ca="1" si="35"/>
        <v>-3180650</v>
      </c>
    </row>
    <row r="206" spans="1:9">
      <c r="A206" s="335">
        <f t="shared" si="36"/>
        <v>189</v>
      </c>
      <c r="B206" s="340">
        <f t="shared" si="40"/>
        <v>52018</v>
      </c>
      <c r="C206" s="336">
        <f t="shared" ca="1" si="37"/>
        <v>3180650.1502999999</v>
      </c>
      <c r="D206" s="335"/>
      <c r="E206" s="336">
        <f t="shared" si="45"/>
        <v>0</v>
      </c>
      <c r="F206" s="336">
        <f t="shared" ca="1" si="34"/>
        <v>-13252.709000000001</v>
      </c>
      <c r="G206" s="336">
        <f t="shared" ca="1" si="38"/>
        <v>13252.709000000001</v>
      </c>
      <c r="H206" s="336">
        <f t="shared" ca="1" si="39"/>
        <v>3193902.8593000001</v>
      </c>
      <c r="I206" s="337">
        <f t="shared" ca="1" si="35"/>
        <v>-3193903</v>
      </c>
    </row>
    <row r="207" spans="1:9">
      <c r="A207" s="335">
        <f t="shared" si="36"/>
        <v>190</v>
      </c>
      <c r="B207" s="340">
        <f t="shared" si="40"/>
        <v>52048</v>
      </c>
      <c r="C207" s="336">
        <f t="shared" ca="1" si="37"/>
        <v>3193902.8593000001</v>
      </c>
      <c r="D207" s="335"/>
      <c r="E207" s="336">
        <f t="shared" si="45"/>
        <v>0</v>
      </c>
      <c r="F207" s="336">
        <f t="shared" ca="1" si="34"/>
        <v>-13307.929</v>
      </c>
      <c r="G207" s="336">
        <f t="shared" ca="1" si="38"/>
        <v>13307.929</v>
      </c>
      <c r="H207" s="336">
        <f t="shared" ca="1" si="39"/>
        <v>3207210.7883000001</v>
      </c>
      <c r="I207" s="337">
        <f t="shared" ca="1" si="35"/>
        <v>-3207211</v>
      </c>
    </row>
    <row r="208" spans="1:9">
      <c r="A208" s="335">
        <f t="shared" si="36"/>
        <v>191</v>
      </c>
      <c r="B208" s="340">
        <f t="shared" si="40"/>
        <v>52079</v>
      </c>
      <c r="C208" s="336">
        <f t="shared" ca="1" si="37"/>
        <v>3207210.7883000001</v>
      </c>
      <c r="D208" s="335"/>
      <c r="E208" s="336">
        <f t="shared" si="45"/>
        <v>0</v>
      </c>
      <c r="F208" s="336">
        <f t="shared" ca="1" si="34"/>
        <v>-13363.378000000001</v>
      </c>
      <c r="G208" s="336">
        <f t="shared" ca="1" si="38"/>
        <v>13363.378000000001</v>
      </c>
      <c r="H208" s="336">
        <f t="shared" ca="1" si="39"/>
        <v>3220574.1663000002</v>
      </c>
      <c r="I208" s="337">
        <f t="shared" ca="1" si="35"/>
        <v>-3220574</v>
      </c>
    </row>
    <row r="209" spans="1:9">
      <c r="A209" s="335">
        <f t="shared" si="36"/>
        <v>192</v>
      </c>
      <c r="B209" s="340">
        <f t="shared" si="40"/>
        <v>52110</v>
      </c>
      <c r="C209" s="336">
        <f t="shared" ca="1" si="37"/>
        <v>3220574.1663000002</v>
      </c>
      <c r="D209" s="336">
        <f ca="1">IF(H209&lt;0,0,0.5*(K33-L33))</f>
        <v>942006.5</v>
      </c>
      <c r="E209" s="336">
        <f t="shared" ca="1" si="45"/>
        <v>922242.5</v>
      </c>
      <c r="F209" s="336">
        <f t="shared" ca="1" si="34"/>
        <v>912666.11800000002</v>
      </c>
      <c r="G209" s="336">
        <f t="shared" ca="1" si="38"/>
        <v>9576.3819999999996</v>
      </c>
      <c r="H209" s="336">
        <f t="shared" ca="1" si="39"/>
        <v>2307908.0482999999</v>
      </c>
      <c r="I209" s="337">
        <f t="shared" ca="1" si="35"/>
        <v>-1365902</v>
      </c>
    </row>
    <row r="210" spans="1:9">
      <c r="A210" s="335">
        <f t="shared" si="36"/>
        <v>193</v>
      </c>
      <c r="B210" s="340">
        <f t="shared" si="40"/>
        <v>52140</v>
      </c>
      <c r="C210" s="336">
        <f t="shared" ca="1" si="37"/>
        <v>2307908.0482999999</v>
      </c>
      <c r="D210" s="336"/>
      <c r="E210" s="336">
        <f t="shared" ref="E210:E221" si="46">IF($D$10=1,IF(OR(MONTH(B210)=MONTH(EDATE($D$7,0)),MONTH(B210)=MONTH(EDATE($D$7,6))),(MIN($D$209,H209)),0),IF($D$10=0,IF(OR(MONTH(B210)=MONTH(EDATE($D$7,5)),MONTH(B210)=MONTH(EDATE($D$7,11))),(MIN($D$209,H209)),0)))</f>
        <v>0</v>
      </c>
      <c r="F210" s="336">
        <f t="shared" ref="F210:F273" ca="1" si="47">IF(E210="","",E210-G210)</f>
        <v>-9616.2839999999997</v>
      </c>
      <c r="G210" s="336">
        <f t="shared" ca="1" si="38"/>
        <v>9616.2839999999997</v>
      </c>
      <c r="H210" s="336">
        <f t="shared" ca="1" si="39"/>
        <v>2317524.3322999999</v>
      </c>
      <c r="I210" s="337">
        <f t="shared" ref="I210:I273" ca="1" si="48">ROUND((D210-H210),0)</f>
        <v>-2317524</v>
      </c>
    </row>
    <row r="211" spans="1:9">
      <c r="A211" s="335">
        <f t="shared" ref="A211:A274" si="49">IF(A210="","",IF(A210=$D$6,"",A210+1))</f>
        <v>194</v>
      </c>
      <c r="B211" s="340">
        <f t="shared" si="40"/>
        <v>52171</v>
      </c>
      <c r="C211" s="336">
        <f t="shared" ref="C211:C274" ca="1" si="50">IF(H210=0,0,H210)</f>
        <v>2317524.3322999999</v>
      </c>
      <c r="D211" s="335"/>
      <c r="E211" s="336">
        <f t="shared" si="46"/>
        <v>0</v>
      </c>
      <c r="F211" s="336">
        <f t="shared" ca="1" si="47"/>
        <v>-9656.3510000000006</v>
      </c>
      <c r="G211" s="336">
        <f t="shared" ref="G211:G274" ca="1" si="51">ROUND((C211-E211)*$D$5,3)</f>
        <v>9656.3510000000006</v>
      </c>
      <c r="H211" s="336">
        <f t="shared" ref="H211:H274" ca="1" si="52">IF(E211="","",ROUND(H210-F211,4))</f>
        <v>2327180.6833000001</v>
      </c>
      <c r="I211" s="337">
        <f t="shared" ca="1" si="48"/>
        <v>-2327181</v>
      </c>
    </row>
    <row r="212" spans="1:9">
      <c r="A212" s="335">
        <f t="shared" si="49"/>
        <v>195</v>
      </c>
      <c r="B212" s="340">
        <f t="shared" ref="B212:B275" si="53">DATE(YEAR(B211),MONTH(B211)+1,1)</f>
        <v>52201</v>
      </c>
      <c r="C212" s="336">
        <f t="shared" ca="1" si="50"/>
        <v>2327180.6833000001</v>
      </c>
      <c r="D212" s="335"/>
      <c r="E212" s="336">
        <f t="shared" si="46"/>
        <v>0</v>
      </c>
      <c r="F212" s="336">
        <f t="shared" ca="1" si="47"/>
        <v>-9696.5859999999993</v>
      </c>
      <c r="G212" s="336">
        <f t="shared" ca="1" si="51"/>
        <v>9696.5859999999993</v>
      </c>
      <c r="H212" s="336">
        <f t="shared" ca="1" si="52"/>
        <v>2336877.2692999998</v>
      </c>
      <c r="I212" s="337">
        <f t="shared" ca="1" si="48"/>
        <v>-2336877</v>
      </c>
    </row>
    <row r="213" spans="1:9">
      <c r="A213" s="335">
        <f t="shared" si="49"/>
        <v>196</v>
      </c>
      <c r="B213" s="340">
        <f t="shared" si="53"/>
        <v>52232</v>
      </c>
      <c r="C213" s="336">
        <f t="shared" ca="1" si="50"/>
        <v>2336877.2692999998</v>
      </c>
      <c r="D213" s="335"/>
      <c r="E213" s="336">
        <f t="shared" si="46"/>
        <v>0</v>
      </c>
      <c r="F213" s="336">
        <f t="shared" ca="1" si="47"/>
        <v>-9736.9889999999996</v>
      </c>
      <c r="G213" s="336">
        <f t="shared" ca="1" si="51"/>
        <v>9736.9889999999996</v>
      </c>
      <c r="H213" s="336">
        <f t="shared" ca="1" si="52"/>
        <v>2346614.2582999999</v>
      </c>
      <c r="I213" s="337">
        <f t="shared" ca="1" si="48"/>
        <v>-2346614</v>
      </c>
    </row>
    <row r="214" spans="1:9">
      <c r="A214" s="335">
        <f t="shared" si="49"/>
        <v>197</v>
      </c>
      <c r="B214" s="340">
        <f t="shared" si="53"/>
        <v>52263</v>
      </c>
      <c r="C214" s="336">
        <f t="shared" ca="1" si="50"/>
        <v>2346614.2582999999</v>
      </c>
      <c r="D214" s="335"/>
      <c r="E214" s="336">
        <f t="shared" si="46"/>
        <v>0</v>
      </c>
      <c r="F214" s="336">
        <f t="shared" ca="1" si="47"/>
        <v>-9777.5589999999993</v>
      </c>
      <c r="G214" s="336">
        <f t="shared" ca="1" si="51"/>
        <v>9777.5589999999993</v>
      </c>
      <c r="H214" s="336">
        <f t="shared" ca="1" si="52"/>
        <v>2356391.8173000002</v>
      </c>
      <c r="I214" s="337">
        <f t="shared" ca="1" si="48"/>
        <v>-2356392</v>
      </c>
    </row>
    <row r="215" spans="1:9">
      <c r="A215" s="335">
        <f t="shared" si="49"/>
        <v>198</v>
      </c>
      <c r="B215" s="340">
        <f t="shared" si="53"/>
        <v>52291</v>
      </c>
      <c r="C215" s="336">
        <f t="shared" ca="1" si="50"/>
        <v>2356391.8173000002</v>
      </c>
      <c r="D215" s="335"/>
      <c r="E215" s="336">
        <f t="shared" ca="1" si="46"/>
        <v>942006.5</v>
      </c>
      <c r="F215" s="336">
        <f t="shared" ca="1" si="47"/>
        <v>936113.228</v>
      </c>
      <c r="G215" s="336">
        <f t="shared" ca="1" si="51"/>
        <v>5893.2719999999999</v>
      </c>
      <c r="H215" s="336">
        <f t="shared" ca="1" si="52"/>
        <v>1420278.5893000001</v>
      </c>
      <c r="I215" s="337">
        <f t="shared" ca="1" si="48"/>
        <v>-1420279</v>
      </c>
    </row>
    <row r="216" spans="1:9">
      <c r="A216" s="335">
        <f t="shared" si="49"/>
        <v>199</v>
      </c>
      <c r="B216" s="340">
        <f t="shared" si="53"/>
        <v>52322</v>
      </c>
      <c r="C216" s="336">
        <f t="shared" ca="1" si="50"/>
        <v>1420278.5893000001</v>
      </c>
      <c r="D216" s="335"/>
      <c r="E216" s="336">
        <f t="shared" si="46"/>
        <v>0</v>
      </c>
      <c r="F216" s="336">
        <f t="shared" ca="1" si="47"/>
        <v>-5917.8270000000002</v>
      </c>
      <c r="G216" s="336">
        <f t="shared" ca="1" si="51"/>
        <v>5917.8270000000002</v>
      </c>
      <c r="H216" s="336">
        <f t="shared" ca="1" si="52"/>
        <v>1426196.4162999999</v>
      </c>
      <c r="I216" s="337">
        <f t="shared" ca="1" si="48"/>
        <v>-1426196</v>
      </c>
    </row>
    <row r="217" spans="1:9">
      <c r="A217" s="335">
        <f t="shared" si="49"/>
        <v>200</v>
      </c>
      <c r="B217" s="340">
        <f t="shared" si="53"/>
        <v>52352</v>
      </c>
      <c r="C217" s="336">
        <f t="shared" ca="1" si="50"/>
        <v>1426196.4162999999</v>
      </c>
      <c r="D217" s="335"/>
      <c r="E217" s="336">
        <f t="shared" si="46"/>
        <v>0</v>
      </c>
      <c r="F217" s="336">
        <f t="shared" ca="1" si="47"/>
        <v>-5942.4849999999997</v>
      </c>
      <c r="G217" s="336">
        <f t="shared" ca="1" si="51"/>
        <v>5942.4849999999997</v>
      </c>
      <c r="H217" s="336">
        <f t="shared" ca="1" si="52"/>
        <v>1432138.9013</v>
      </c>
      <c r="I217" s="337">
        <f t="shared" ca="1" si="48"/>
        <v>-1432139</v>
      </c>
    </row>
    <row r="218" spans="1:9">
      <c r="A218" s="335">
        <f t="shared" si="49"/>
        <v>201</v>
      </c>
      <c r="B218" s="340">
        <f t="shared" si="53"/>
        <v>52383</v>
      </c>
      <c r="C218" s="336">
        <f t="shared" ca="1" si="50"/>
        <v>1432138.9013</v>
      </c>
      <c r="D218" s="335"/>
      <c r="E218" s="336">
        <f t="shared" si="46"/>
        <v>0</v>
      </c>
      <c r="F218" s="336">
        <f t="shared" ca="1" si="47"/>
        <v>-5967.2449999999999</v>
      </c>
      <c r="G218" s="336">
        <f t="shared" ca="1" si="51"/>
        <v>5967.2449999999999</v>
      </c>
      <c r="H218" s="336">
        <f t="shared" ca="1" si="52"/>
        <v>1438106.1462999999</v>
      </c>
      <c r="I218" s="337">
        <f t="shared" ca="1" si="48"/>
        <v>-1438106</v>
      </c>
    </row>
    <row r="219" spans="1:9">
      <c r="A219" s="335">
        <f t="shared" si="49"/>
        <v>202</v>
      </c>
      <c r="B219" s="340">
        <f t="shared" si="53"/>
        <v>52413</v>
      </c>
      <c r="C219" s="336">
        <f t="shared" ca="1" si="50"/>
        <v>1438106.1462999999</v>
      </c>
      <c r="D219" s="335"/>
      <c r="E219" s="336">
        <f t="shared" si="46"/>
        <v>0</v>
      </c>
      <c r="F219" s="336">
        <f t="shared" ca="1" si="47"/>
        <v>-5992.1090000000004</v>
      </c>
      <c r="G219" s="336">
        <f t="shared" ca="1" si="51"/>
        <v>5992.1090000000004</v>
      </c>
      <c r="H219" s="336">
        <f t="shared" ca="1" si="52"/>
        <v>1444098.2553000001</v>
      </c>
      <c r="I219" s="337">
        <f t="shared" ca="1" si="48"/>
        <v>-1444098</v>
      </c>
    </row>
    <row r="220" spans="1:9">
      <c r="A220" s="335">
        <f t="shared" si="49"/>
        <v>203</v>
      </c>
      <c r="B220" s="340">
        <f t="shared" si="53"/>
        <v>52444</v>
      </c>
      <c r="C220" s="336">
        <f t="shared" ca="1" si="50"/>
        <v>1444098.2553000001</v>
      </c>
      <c r="D220" s="335"/>
      <c r="E220" s="336">
        <f t="shared" si="46"/>
        <v>0</v>
      </c>
      <c r="F220" s="336">
        <f t="shared" ca="1" si="47"/>
        <v>-6017.076</v>
      </c>
      <c r="G220" s="336">
        <f t="shared" ca="1" si="51"/>
        <v>6017.076</v>
      </c>
      <c r="H220" s="336">
        <f t="shared" ca="1" si="52"/>
        <v>1450115.3313</v>
      </c>
      <c r="I220" s="337">
        <f t="shared" ca="1" si="48"/>
        <v>-1450115</v>
      </c>
    </row>
    <row r="221" spans="1:9">
      <c r="A221" s="335">
        <f t="shared" si="49"/>
        <v>204</v>
      </c>
      <c r="B221" s="340">
        <f t="shared" si="53"/>
        <v>52475</v>
      </c>
      <c r="C221" s="336">
        <f t="shared" ca="1" si="50"/>
        <v>1450115.3313</v>
      </c>
      <c r="D221" s="336">
        <f ca="1">IF(H221&lt;0,0,0.5*(K34-L34))</f>
        <v>962304.5</v>
      </c>
      <c r="E221" s="336">
        <f t="shared" ca="1" si="46"/>
        <v>942006.5</v>
      </c>
      <c r="F221" s="336">
        <f t="shared" ca="1" si="47"/>
        <v>939889.38</v>
      </c>
      <c r="G221" s="336">
        <f t="shared" ca="1" si="51"/>
        <v>2117.12</v>
      </c>
      <c r="H221" s="336">
        <f t="shared" ca="1" si="52"/>
        <v>510225.95130000002</v>
      </c>
      <c r="I221" s="337">
        <f t="shared" ca="1" si="48"/>
        <v>452079</v>
      </c>
    </row>
    <row r="222" spans="1:9">
      <c r="A222" s="335">
        <f t="shared" si="49"/>
        <v>205</v>
      </c>
      <c r="B222" s="340">
        <f t="shared" si="53"/>
        <v>52505</v>
      </c>
      <c r="C222" s="336">
        <f t="shared" ca="1" si="50"/>
        <v>510225.95130000002</v>
      </c>
      <c r="D222" s="336"/>
      <c r="E222" s="336">
        <f t="shared" ref="E222:E233" si="54">IF($D$10=1,IF(OR(MONTH(B222)=MONTH(EDATE($D$7,0)),MONTH(B222)=MONTH(EDATE($D$7,6))),(MIN($D$221,H221)),0),IF($D$10=0,IF(OR(MONTH(B222)=MONTH(EDATE($D$7,5)),MONTH(B222)=MONTH(EDATE($D$7,11))),(MIN($D$221,H221)),0)))</f>
        <v>0</v>
      </c>
      <c r="F222" s="336">
        <f t="shared" ca="1" si="47"/>
        <v>-2125.9409999999998</v>
      </c>
      <c r="G222" s="336">
        <f t="shared" ca="1" si="51"/>
        <v>2125.9409999999998</v>
      </c>
      <c r="H222" s="336">
        <f t="shared" ca="1" si="52"/>
        <v>512351.89230000001</v>
      </c>
      <c r="I222" s="337">
        <f t="shared" ca="1" si="48"/>
        <v>-512352</v>
      </c>
    </row>
    <row r="223" spans="1:9">
      <c r="A223" s="335">
        <f t="shared" si="49"/>
        <v>206</v>
      </c>
      <c r="B223" s="340">
        <f t="shared" si="53"/>
        <v>52536</v>
      </c>
      <c r="C223" s="336">
        <f t="shared" ca="1" si="50"/>
        <v>512351.89230000001</v>
      </c>
      <c r="D223" s="335"/>
      <c r="E223" s="336">
        <f t="shared" si="54"/>
        <v>0</v>
      </c>
      <c r="F223" s="336">
        <f t="shared" ca="1" si="47"/>
        <v>-2134.8000000000002</v>
      </c>
      <c r="G223" s="336">
        <f t="shared" ca="1" si="51"/>
        <v>2134.8000000000002</v>
      </c>
      <c r="H223" s="336">
        <f t="shared" ca="1" si="52"/>
        <v>514486.6923</v>
      </c>
      <c r="I223" s="337">
        <f t="shared" ca="1" si="48"/>
        <v>-514487</v>
      </c>
    </row>
    <row r="224" spans="1:9">
      <c r="A224" s="335">
        <f t="shared" si="49"/>
        <v>207</v>
      </c>
      <c r="B224" s="340">
        <f t="shared" si="53"/>
        <v>52566</v>
      </c>
      <c r="C224" s="336">
        <f t="shared" ca="1" si="50"/>
        <v>514486.6923</v>
      </c>
      <c r="D224" s="335"/>
      <c r="E224" s="336">
        <f t="shared" si="54"/>
        <v>0</v>
      </c>
      <c r="F224" s="336">
        <f t="shared" ca="1" si="47"/>
        <v>-2143.6950000000002</v>
      </c>
      <c r="G224" s="336">
        <f t="shared" ca="1" si="51"/>
        <v>2143.6950000000002</v>
      </c>
      <c r="H224" s="336">
        <f t="shared" ca="1" si="52"/>
        <v>516630.3873</v>
      </c>
      <c r="I224" s="337">
        <f t="shared" ca="1" si="48"/>
        <v>-516630</v>
      </c>
    </row>
    <row r="225" spans="1:9">
      <c r="A225" s="335">
        <f t="shared" si="49"/>
        <v>208</v>
      </c>
      <c r="B225" s="340">
        <f t="shared" si="53"/>
        <v>52597</v>
      </c>
      <c r="C225" s="336">
        <f t="shared" ca="1" si="50"/>
        <v>516630.3873</v>
      </c>
      <c r="D225" s="335"/>
      <c r="E225" s="336">
        <f t="shared" si="54"/>
        <v>0</v>
      </c>
      <c r="F225" s="336">
        <f t="shared" ca="1" si="47"/>
        <v>-2152.627</v>
      </c>
      <c r="G225" s="336">
        <f t="shared" ca="1" si="51"/>
        <v>2152.627</v>
      </c>
      <c r="H225" s="336">
        <f t="shared" ca="1" si="52"/>
        <v>518783.01429999998</v>
      </c>
      <c r="I225" s="337">
        <f t="shared" ca="1" si="48"/>
        <v>-518783</v>
      </c>
    </row>
    <row r="226" spans="1:9">
      <c r="A226" s="335">
        <f t="shared" si="49"/>
        <v>209</v>
      </c>
      <c r="B226" s="340">
        <f t="shared" si="53"/>
        <v>52628</v>
      </c>
      <c r="C226" s="336">
        <f t="shared" ca="1" si="50"/>
        <v>518783.01429999998</v>
      </c>
      <c r="D226" s="335"/>
      <c r="E226" s="336">
        <f t="shared" si="54"/>
        <v>0</v>
      </c>
      <c r="F226" s="336">
        <f t="shared" ca="1" si="47"/>
        <v>-2161.596</v>
      </c>
      <c r="G226" s="336">
        <f t="shared" ca="1" si="51"/>
        <v>2161.596</v>
      </c>
      <c r="H226" s="336">
        <f t="shared" ca="1" si="52"/>
        <v>520944.6103</v>
      </c>
      <c r="I226" s="337">
        <f t="shared" ca="1" si="48"/>
        <v>-520945</v>
      </c>
    </row>
    <row r="227" spans="1:9">
      <c r="A227" s="335">
        <f t="shared" si="49"/>
        <v>210</v>
      </c>
      <c r="B227" s="340">
        <f t="shared" si="53"/>
        <v>52657</v>
      </c>
      <c r="C227" s="336">
        <f t="shared" ca="1" si="50"/>
        <v>520944.6103</v>
      </c>
      <c r="D227" s="335"/>
      <c r="E227" s="336">
        <f t="shared" ca="1" si="54"/>
        <v>520944.6103</v>
      </c>
      <c r="F227" s="336">
        <f t="shared" ca="1" si="47"/>
        <v>520944.6103</v>
      </c>
      <c r="G227" s="336">
        <f t="shared" ca="1" si="51"/>
        <v>0</v>
      </c>
      <c r="H227" s="336">
        <f t="shared" ca="1" si="52"/>
        <v>0</v>
      </c>
      <c r="I227" s="337">
        <f t="shared" ca="1" si="48"/>
        <v>0</v>
      </c>
    </row>
    <row r="228" spans="1:9">
      <c r="A228" s="335">
        <f t="shared" si="49"/>
        <v>211</v>
      </c>
      <c r="B228" s="340">
        <f t="shared" si="53"/>
        <v>52688</v>
      </c>
      <c r="C228" s="336">
        <f t="shared" ca="1" si="50"/>
        <v>0</v>
      </c>
      <c r="D228" s="335"/>
      <c r="E228" s="336">
        <f t="shared" si="54"/>
        <v>0</v>
      </c>
      <c r="F228" s="336">
        <f t="shared" ca="1" si="47"/>
        <v>0</v>
      </c>
      <c r="G228" s="336">
        <f t="shared" ca="1" si="51"/>
        <v>0</v>
      </c>
      <c r="H228" s="336">
        <f t="shared" ca="1" si="52"/>
        <v>0</v>
      </c>
      <c r="I228" s="337">
        <f t="shared" ca="1" si="48"/>
        <v>0</v>
      </c>
    </row>
    <row r="229" spans="1:9">
      <c r="A229" s="335">
        <f t="shared" si="49"/>
        <v>212</v>
      </c>
      <c r="B229" s="340">
        <f t="shared" si="53"/>
        <v>52718</v>
      </c>
      <c r="C229" s="336">
        <f t="shared" ca="1" si="50"/>
        <v>0</v>
      </c>
      <c r="D229" s="335"/>
      <c r="E229" s="336">
        <f t="shared" si="54"/>
        <v>0</v>
      </c>
      <c r="F229" s="336">
        <f t="shared" ca="1" si="47"/>
        <v>0</v>
      </c>
      <c r="G229" s="336">
        <f t="shared" ca="1" si="51"/>
        <v>0</v>
      </c>
      <c r="H229" s="336">
        <f t="shared" ca="1" si="52"/>
        <v>0</v>
      </c>
      <c r="I229" s="337">
        <f t="shared" ca="1" si="48"/>
        <v>0</v>
      </c>
    </row>
    <row r="230" spans="1:9">
      <c r="A230" s="335">
        <f t="shared" si="49"/>
        <v>213</v>
      </c>
      <c r="B230" s="340">
        <f t="shared" si="53"/>
        <v>52749</v>
      </c>
      <c r="C230" s="336">
        <f t="shared" ca="1" si="50"/>
        <v>0</v>
      </c>
      <c r="D230" s="335"/>
      <c r="E230" s="336">
        <f t="shared" si="54"/>
        <v>0</v>
      </c>
      <c r="F230" s="336">
        <f t="shared" ca="1" si="47"/>
        <v>0</v>
      </c>
      <c r="G230" s="336">
        <f t="shared" ca="1" si="51"/>
        <v>0</v>
      </c>
      <c r="H230" s="336">
        <f t="shared" ca="1" si="52"/>
        <v>0</v>
      </c>
      <c r="I230" s="337">
        <f t="shared" ca="1" si="48"/>
        <v>0</v>
      </c>
    </row>
    <row r="231" spans="1:9">
      <c r="A231" s="335">
        <f t="shared" si="49"/>
        <v>214</v>
      </c>
      <c r="B231" s="340">
        <f t="shared" si="53"/>
        <v>52779</v>
      </c>
      <c r="C231" s="336">
        <f t="shared" ca="1" si="50"/>
        <v>0</v>
      </c>
      <c r="D231" s="335"/>
      <c r="E231" s="336">
        <f t="shared" si="54"/>
        <v>0</v>
      </c>
      <c r="F231" s="336">
        <f t="shared" ca="1" si="47"/>
        <v>0</v>
      </c>
      <c r="G231" s="336">
        <f t="shared" ca="1" si="51"/>
        <v>0</v>
      </c>
      <c r="H231" s="336">
        <f t="shared" ca="1" si="52"/>
        <v>0</v>
      </c>
      <c r="I231" s="337">
        <f t="shared" ca="1" si="48"/>
        <v>0</v>
      </c>
    </row>
    <row r="232" spans="1:9">
      <c r="A232" s="335">
        <f t="shared" si="49"/>
        <v>215</v>
      </c>
      <c r="B232" s="340">
        <f t="shared" si="53"/>
        <v>52810</v>
      </c>
      <c r="C232" s="336">
        <f t="shared" ca="1" si="50"/>
        <v>0</v>
      </c>
      <c r="D232" s="335"/>
      <c r="E232" s="336">
        <f t="shared" si="54"/>
        <v>0</v>
      </c>
      <c r="F232" s="336">
        <f t="shared" ca="1" si="47"/>
        <v>0</v>
      </c>
      <c r="G232" s="336">
        <f t="shared" ca="1" si="51"/>
        <v>0</v>
      </c>
      <c r="H232" s="336">
        <f t="shared" ca="1" si="52"/>
        <v>0</v>
      </c>
      <c r="I232" s="337">
        <f t="shared" ca="1" si="48"/>
        <v>0</v>
      </c>
    </row>
    <row r="233" spans="1:9">
      <c r="A233" s="335">
        <f t="shared" si="49"/>
        <v>216</v>
      </c>
      <c r="B233" s="340">
        <f t="shared" si="53"/>
        <v>52841</v>
      </c>
      <c r="C233" s="336">
        <f t="shared" ca="1" si="50"/>
        <v>0</v>
      </c>
      <c r="D233" s="336">
        <f ca="1">IF(H233&lt;0,0,0.5*(K35-L35))</f>
        <v>983153.5</v>
      </c>
      <c r="E233" s="336">
        <f t="shared" ca="1" si="54"/>
        <v>0</v>
      </c>
      <c r="F233" s="336">
        <f t="shared" ca="1" si="47"/>
        <v>0</v>
      </c>
      <c r="G233" s="336">
        <f t="shared" ca="1" si="51"/>
        <v>0</v>
      </c>
      <c r="H233" s="336">
        <f t="shared" ca="1" si="52"/>
        <v>0</v>
      </c>
      <c r="I233" s="337">
        <f t="shared" ca="1" si="48"/>
        <v>983154</v>
      </c>
    </row>
    <row r="234" spans="1:9">
      <c r="A234" s="335">
        <f t="shared" si="49"/>
        <v>217</v>
      </c>
      <c r="B234" s="340">
        <f t="shared" si="53"/>
        <v>52871</v>
      </c>
      <c r="C234" s="336">
        <f t="shared" ca="1" si="50"/>
        <v>0</v>
      </c>
      <c r="D234" s="336"/>
      <c r="E234" s="336">
        <f t="shared" ref="E234:E245" si="55">IF($D$10=1,IF(OR(MONTH(B234)=MONTH(EDATE($D$7,0)),MONTH(B234)=MONTH(EDATE($D$7,6))),(MIN($D$233,H233)),0),IF($D$10=0,IF(OR(MONTH(B234)=MONTH(EDATE($D$7,5)),MONTH(B234)=MONTH(EDATE($D$7,11))),(MIN($D$233,H233)),0)))</f>
        <v>0</v>
      </c>
      <c r="F234" s="336">
        <f t="shared" ca="1" si="47"/>
        <v>0</v>
      </c>
      <c r="G234" s="336">
        <f t="shared" ca="1" si="51"/>
        <v>0</v>
      </c>
      <c r="H234" s="336">
        <f t="shared" ca="1" si="52"/>
        <v>0</v>
      </c>
      <c r="I234" s="337">
        <f t="shared" ca="1" si="48"/>
        <v>0</v>
      </c>
    </row>
    <row r="235" spans="1:9">
      <c r="A235" s="335">
        <f t="shared" si="49"/>
        <v>218</v>
      </c>
      <c r="B235" s="340">
        <f t="shared" si="53"/>
        <v>52902</v>
      </c>
      <c r="C235" s="336">
        <f t="shared" ca="1" si="50"/>
        <v>0</v>
      </c>
      <c r="D235" s="335"/>
      <c r="E235" s="336">
        <f t="shared" si="55"/>
        <v>0</v>
      </c>
      <c r="F235" s="336">
        <f t="shared" ca="1" si="47"/>
        <v>0</v>
      </c>
      <c r="G235" s="336">
        <f t="shared" ca="1" si="51"/>
        <v>0</v>
      </c>
      <c r="H235" s="336">
        <f t="shared" ca="1" si="52"/>
        <v>0</v>
      </c>
      <c r="I235" s="337">
        <f t="shared" ca="1" si="48"/>
        <v>0</v>
      </c>
    </row>
    <row r="236" spans="1:9">
      <c r="A236" s="335">
        <f t="shared" si="49"/>
        <v>219</v>
      </c>
      <c r="B236" s="340">
        <f t="shared" si="53"/>
        <v>52932</v>
      </c>
      <c r="C236" s="336">
        <f t="shared" ca="1" si="50"/>
        <v>0</v>
      </c>
      <c r="D236" s="335"/>
      <c r="E236" s="336">
        <f t="shared" si="55"/>
        <v>0</v>
      </c>
      <c r="F236" s="336">
        <f t="shared" ca="1" si="47"/>
        <v>0</v>
      </c>
      <c r="G236" s="336">
        <f t="shared" ca="1" si="51"/>
        <v>0</v>
      </c>
      <c r="H236" s="336">
        <f t="shared" ca="1" si="52"/>
        <v>0</v>
      </c>
      <c r="I236" s="337">
        <f t="shared" ca="1" si="48"/>
        <v>0</v>
      </c>
    </row>
    <row r="237" spans="1:9">
      <c r="A237" s="335">
        <f t="shared" si="49"/>
        <v>220</v>
      </c>
      <c r="B237" s="340">
        <f t="shared" si="53"/>
        <v>52963</v>
      </c>
      <c r="C237" s="336">
        <f t="shared" ca="1" si="50"/>
        <v>0</v>
      </c>
      <c r="D237" s="335"/>
      <c r="E237" s="336">
        <f t="shared" si="55"/>
        <v>0</v>
      </c>
      <c r="F237" s="336">
        <f t="shared" ca="1" si="47"/>
        <v>0</v>
      </c>
      <c r="G237" s="336">
        <f t="shared" ca="1" si="51"/>
        <v>0</v>
      </c>
      <c r="H237" s="336">
        <f t="shared" ca="1" si="52"/>
        <v>0</v>
      </c>
      <c r="I237" s="337">
        <f t="shared" ca="1" si="48"/>
        <v>0</v>
      </c>
    </row>
    <row r="238" spans="1:9">
      <c r="A238" s="335">
        <f t="shared" si="49"/>
        <v>221</v>
      </c>
      <c r="B238" s="340">
        <f t="shared" si="53"/>
        <v>52994</v>
      </c>
      <c r="C238" s="336">
        <f t="shared" ca="1" si="50"/>
        <v>0</v>
      </c>
      <c r="D238" s="335"/>
      <c r="E238" s="336">
        <f t="shared" si="55"/>
        <v>0</v>
      </c>
      <c r="F238" s="336">
        <f t="shared" ca="1" si="47"/>
        <v>0</v>
      </c>
      <c r="G238" s="336">
        <f t="shared" ca="1" si="51"/>
        <v>0</v>
      </c>
      <c r="H238" s="336">
        <f t="shared" ca="1" si="52"/>
        <v>0</v>
      </c>
      <c r="I238" s="337">
        <f t="shared" ca="1" si="48"/>
        <v>0</v>
      </c>
    </row>
    <row r="239" spans="1:9">
      <c r="A239" s="335">
        <f t="shared" si="49"/>
        <v>222</v>
      </c>
      <c r="B239" s="340">
        <f t="shared" si="53"/>
        <v>53022</v>
      </c>
      <c r="C239" s="336">
        <f t="shared" ca="1" si="50"/>
        <v>0</v>
      </c>
      <c r="D239" s="335"/>
      <c r="E239" s="336">
        <f t="shared" ca="1" si="55"/>
        <v>0</v>
      </c>
      <c r="F239" s="336">
        <f t="shared" ca="1" si="47"/>
        <v>0</v>
      </c>
      <c r="G239" s="336">
        <f t="shared" ca="1" si="51"/>
        <v>0</v>
      </c>
      <c r="H239" s="336">
        <f t="shared" ca="1" si="52"/>
        <v>0</v>
      </c>
      <c r="I239" s="337">
        <f t="shared" ca="1" si="48"/>
        <v>0</v>
      </c>
    </row>
    <row r="240" spans="1:9">
      <c r="A240" s="335">
        <f t="shared" si="49"/>
        <v>223</v>
      </c>
      <c r="B240" s="340">
        <f t="shared" si="53"/>
        <v>53053</v>
      </c>
      <c r="C240" s="336">
        <f t="shared" ca="1" si="50"/>
        <v>0</v>
      </c>
      <c r="D240" s="335"/>
      <c r="E240" s="336">
        <f t="shared" si="55"/>
        <v>0</v>
      </c>
      <c r="F240" s="336">
        <f t="shared" ca="1" si="47"/>
        <v>0</v>
      </c>
      <c r="G240" s="336">
        <f t="shared" ca="1" si="51"/>
        <v>0</v>
      </c>
      <c r="H240" s="336">
        <f t="shared" ca="1" si="52"/>
        <v>0</v>
      </c>
      <c r="I240" s="337">
        <f t="shared" ca="1" si="48"/>
        <v>0</v>
      </c>
    </row>
    <row r="241" spans="1:9">
      <c r="A241" s="335">
        <f t="shared" si="49"/>
        <v>224</v>
      </c>
      <c r="B241" s="340">
        <f t="shared" si="53"/>
        <v>53083</v>
      </c>
      <c r="C241" s="336">
        <f t="shared" ca="1" si="50"/>
        <v>0</v>
      </c>
      <c r="D241" s="335"/>
      <c r="E241" s="336">
        <f t="shared" si="55"/>
        <v>0</v>
      </c>
      <c r="F241" s="336">
        <f t="shared" ca="1" si="47"/>
        <v>0</v>
      </c>
      <c r="G241" s="336">
        <f t="shared" ca="1" si="51"/>
        <v>0</v>
      </c>
      <c r="H241" s="336">
        <f t="shared" ca="1" si="52"/>
        <v>0</v>
      </c>
      <c r="I241" s="337">
        <f t="shared" ca="1" si="48"/>
        <v>0</v>
      </c>
    </row>
    <row r="242" spans="1:9">
      <c r="A242" s="335">
        <f t="shared" si="49"/>
        <v>225</v>
      </c>
      <c r="B242" s="340">
        <f t="shared" si="53"/>
        <v>53114</v>
      </c>
      <c r="C242" s="336">
        <f t="shared" ca="1" si="50"/>
        <v>0</v>
      </c>
      <c r="D242" s="335"/>
      <c r="E242" s="336">
        <f t="shared" si="55"/>
        <v>0</v>
      </c>
      <c r="F242" s="336">
        <f t="shared" ca="1" si="47"/>
        <v>0</v>
      </c>
      <c r="G242" s="336">
        <f t="shared" ca="1" si="51"/>
        <v>0</v>
      </c>
      <c r="H242" s="336">
        <f t="shared" ca="1" si="52"/>
        <v>0</v>
      </c>
      <c r="I242" s="337">
        <f t="shared" ca="1" si="48"/>
        <v>0</v>
      </c>
    </row>
    <row r="243" spans="1:9">
      <c r="A243" s="335">
        <f t="shared" si="49"/>
        <v>226</v>
      </c>
      <c r="B243" s="340">
        <f t="shared" si="53"/>
        <v>53144</v>
      </c>
      <c r="C243" s="336">
        <f t="shared" ca="1" si="50"/>
        <v>0</v>
      </c>
      <c r="D243" s="335"/>
      <c r="E243" s="336">
        <f t="shared" si="55"/>
        <v>0</v>
      </c>
      <c r="F243" s="336">
        <f t="shared" ca="1" si="47"/>
        <v>0</v>
      </c>
      <c r="G243" s="336">
        <f t="shared" ca="1" si="51"/>
        <v>0</v>
      </c>
      <c r="H243" s="336">
        <f t="shared" ca="1" si="52"/>
        <v>0</v>
      </c>
      <c r="I243" s="337">
        <f t="shared" ca="1" si="48"/>
        <v>0</v>
      </c>
    </row>
    <row r="244" spans="1:9">
      <c r="A244" s="335">
        <f t="shared" si="49"/>
        <v>227</v>
      </c>
      <c r="B244" s="340">
        <f t="shared" si="53"/>
        <v>53175</v>
      </c>
      <c r="C244" s="336">
        <f t="shared" ca="1" si="50"/>
        <v>0</v>
      </c>
      <c r="D244" s="335"/>
      <c r="E244" s="336">
        <f t="shared" si="55"/>
        <v>0</v>
      </c>
      <c r="F244" s="336">
        <f t="shared" ca="1" si="47"/>
        <v>0</v>
      </c>
      <c r="G244" s="336">
        <f t="shared" ca="1" si="51"/>
        <v>0</v>
      </c>
      <c r="H244" s="336">
        <f t="shared" ca="1" si="52"/>
        <v>0</v>
      </c>
      <c r="I244" s="337">
        <f t="shared" ca="1" si="48"/>
        <v>0</v>
      </c>
    </row>
    <row r="245" spans="1:9">
      <c r="A245" s="335">
        <f t="shared" si="49"/>
        <v>228</v>
      </c>
      <c r="B245" s="340">
        <f t="shared" si="53"/>
        <v>53206</v>
      </c>
      <c r="C245" s="336">
        <f t="shared" ca="1" si="50"/>
        <v>0</v>
      </c>
      <c r="D245" s="336">
        <f ca="1">IF(H245&lt;0,0,0.5*(K36-L36))</f>
        <v>1004571</v>
      </c>
      <c r="E245" s="336">
        <f t="shared" ca="1" si="55"/>
        <v>0</v>
      </c>
      <c r="F245" s="336">
        <f t="shared" ca="1" si="47"/>
        <v>0</v>
      </c>
      <c r="G245" s="336">
        <f t="shared" ca="1" si="51"/>
        <v>0</v>
      </c>
      <c r="H245" s="336">
        <f t="shared" ca="1" si="52"/>
        <v>0</v>
      </c>
      <c r="I245" s="337">
        <f t="shared" ca="1" si="48"/>
        <v>1004571</v>
      </c>
    </row>
    <row r="246" spans="1:9">
      <c r="A246" s="335">
        <f t="shared" si="49"/>
        <v>229</v>
      </c>
      <c r="B246" s="340">
        <f t="shared" si="53"/>
        <v>53236</v>
      </c>
      <c r="C246" s="336">
        <f t="shared" ca="1" si="50"/>
        <v>0</v>
      </c>
      <c r="D246" s="336"/>
      <c r="E246" s="336">
        <f t="shared" ref="E246:E257" si="56">IF($D$10=1,IF(OR(MONTH(B246)=MONTH(EDATE($D$7,0)),MONTH(B246)=MONTH(EDATE($D$7,6))),(MIN($D$245,H245)),0),IF($D$10=0,IF(OR(MONTH(B246)=MONTH(EDATE($D$7,5)),MONTH(B246)=MONTH(EDATE($D$7,11))),(MIN($D$245,H245)),0)))</f>
        <v>0</v>
      </c>
      <c r="F246" s="336">
        <f t="shared" ca="1" si="47"/>
        <v>0</v>
      </c>
      <c r="G246" s="336">
        <f t="shared" ca="1" si="51"/>
        <v>0</v>
      </c>
      <c r="H246" s="336">
        <f t="shared" ca="1" si="52"/>
        <v>0</v>
      </c>
      <c r="I246" s="337">
        <f t="shared" ca="1" si="48"/>
        <v>0</v>
      </c>
    </row>
    <row r="247" spans="1:9">
      <c r="A247" s="335">
        <f t="shared" si="49"/>
        <v>230</v>
      </c>
      <c r="B247" s="340">
        <f t="shared" si="53"/>
        <v>53267</v>
      </c>
      <c r="C247" s="336">
        <f t="shared" ca="1" si="50"/>
        <v>0</v>
      </c>
      <c r="D247" s="335"/>
      <c r="E247" s="336">
        <f t="shared" si="56"/>
        <v>0</v>
      </c>
      <c r="F247" s="336">
        <f t="shared" ca="1" si="47"/>
        <v>0</v>
      </c>
      <c r="G247" s="336">
        <f t="shared" ca="1" si="51"/>
        <v>0</v>
      </c>
      <c r="H247" s="336">
        <f t="shared" ca="1" si="52"/>
        <v>0</v>
      </c>
      <c r="I247" s="337">
        <f t="shared" ca="1" si="48"/>
        <v>0</v>
      </c>
    </row>
    <row r="248" spans="1:9">
      <c r="A248" s="335">
        <f t="shared" si="49"/>
        <v>231</v>
      </c>
      <c r="B248" s="340">
        <f t="shared" si="53"/>
        <v>53297</v>
      </c>
      <c r="C248" s="336">
        <f t="shared" ca="1" si="50"/>
        <v>0</v>
      </c>
      <c r="D248" s="335"/>
      <c r="E248" s="336">
        <f t="shared" si="56"/>
        <v>0</v>
      </c>
      <c r="F248" s="336">
        <f t="shared" ca="1" si="47"/>
        <v>0</v>
      </c>
      <c r="G248" s="336">
        <f t="shared" ca="1" si="51"/>
        <v>0</v>
      </c>
      <c r="H248" s="336">
        <f t="shared" ca="1" si="52"/>
        <v>0</v>
      </c>
      <c r="I248" s="337">
        <f t="shared" ca="1" si="48"/>
        <v>0</v>
      </c>
    </row>
    <row r="249" spans="1:9">
      <c r="A249" s="335">
        <f t="shared" si="49"/>
        <v>232</v>
      </c>
      <c r="B249" s="340">
        <f t="shared" si="53"/>
        <v>53328</v>
      </c>
      <c r="C249" s="336">
        <f t="shared" ca="1" si="50"/>
        <v>0</v>
      </c>
      <c r="D249" s="335"/>
      <c r="E249" s="336">
        <f t="shared" si="56"/>
        <v>0</v>
      </c>
      <c r="F249" s="336">
        <f t="shared" ca="1" si="47"/>
        <v>0</v>
      </c>
      <c r="G249" s="336">
        <f t="shared" ca="1" si="51"/>
        <v>0</v>
      </c>
      <c r="H249" s="336">
        <f t="shared" ca="1" si="52"/>
        <v>0</v>
      </c>
      <c r="I249" s="337">
        <f t="shared" ca="1" si="48"/>
        <v>0</v>
      </c>
    </row>
    <row r="250" spans="1:9">
      <c r="A250" s="335">
        <f t="shared" si="49"/>
        <v>233</v>
      </c>
      <c r="B250" s="340">
        <f t="shared" si="53"/>
        <v>53359</v>
      </c>
      <c r="C250" s="336">
        <f t="shared" ca="1" si="50"/>
        <v>0</v>
      </c>
      <c r="D250" s="335"/>
      <c r="E250" s="336">
        <f t="shared" si="56"/>
        <v>0</v>
      </c>
      <c r="F250" s="336">
        <f t="shared" ca="1" si="47"/>
        <v>0</v>
      </c>
      <c r="G250" s="336">
        <f t="shared" ca="1" si="51"/>
        <v>0</v>
      </c>
      <c r="H250" s="336">
        <f t="shared" ca="1" si="52"/>
        <v>0</v>
      </c>
      <c r="I250" s="337">
        <f t="shared" ca="1" si="48"/>
        <v>0</v>
      </c>
    </row>
    <row r="251" spans="1:9">
      <c r="A251" s="335">
        <f t="shared" si="49"/>
        <v>234</v>
      </c>
      <c r="B251" s="340">
        <f t="shared" si="53"/>
        <v>53387</v>
      </c>
      <c r="C251" s="336">
        <f t="shared" ca="1" si="50"/>
        <v>0</v>
      </c>
      <c r="D251" s="335"/>
      <c r="E251" s="336">
        <f t="shared" ca="1" si="56"/>
        <v>0</v>
      </c>
      <c r="F251" s="336">
        <f t="shared" ca="1" si="47"/>
        <v>0</v>
      </c>
      <c r="G251" s="336">
        <f t="shared" ca="1" si="51"/>
        <v>0</v>
      </c>
      <c r="H251" s="336">
        <f t="shared" ca="1" si="52"/>
        <v>0</v>
      </c>
      <c r="I251" s="337">
        <f t="shared" ca="1" si="48"/>
        <v>0</v>
      </c>
    </row>
    <row r="252" spans="1:9">
      <c r="A252" s="335">
        <f t="shared" si="49"/>
        <v>235</v>
      </c>
      <c r="B252" s="340">
        <f t="shared" si="53"/>
        <v>53418</v>
      </c>
      <c r="C252" s="336">
        <f t="shared" ca="1" si="50"/>
        <v>0</v>
      </c>
      <c r="D252" s="335"/>
      <c r="E252" s="336">
        <f t="shared" si="56"/>
        <v>0</v>
      </c>
      <c r="F252" s="336">
        <f t="shared" ca="1" si="47"/>
        <v>0</v>
      </c>
      <c r="G252" s="336">
        <f t="shared" ca="1" si="51"/>
        <v>0</v>
      </c>
      <c r="H252" s="336">
        <f t="shared" ca="1" si="52"/>
        <v>0</v>
      </c>
      <c r="I252" s="337">
        <f t="shared" ca="1" si="48"/>
        <v>0</v>
      </c>
    </row>
    <row r="253" spans="1:9">
      <c r="A253" s="335">
        <f t="shared" si="49"/>
        <v>236</v>
      </c>
      <c r="B253" s="340">
        <f t="shared" si="53"/>
        <v>53448</v>
      </c>
      <c r="C253" s="336">
        <f t="shared" ca="1" si="50"/>
        <v>0</v>
      </c>
      <c r="D253" s="335"/>
      <c r="E253" s="336">
        <f t="shared" si="56"/>
        <v>0</v>
      </c>
      <c r="F253" s="336">
        <f t="shared" ca="1" si="47"/>
        <v>0</v>
      </c>
      <c r="G253" s="336">
        <f t="shared" ca="1" si="51"/>
        <v>0</v>
      </c>
      <c r="H253" s="336">
        <f t="shared" ca="1" si="52"/>
        <v>0</v>
      </c>
      <c r="I253" s="337">
        <f t="shared" ca="1" si="48"/>
        <v>0</v>
      </c>
    </row>
    <row r="254" spans="1:9">
      <c r="A254" s="335">
        <f t="shared" si="49"/>
        <v>237</v>
      </c>
      <c r="B254" s="340">
        <f t="shared" si="53"/>
        <v>53479</v>
      </c>
      <c r="C254" s="336">
        <f t="shared" ca="1" si="50"/>
        <v>0</v>
      </c>
      <c r="D254" s="335"/>
      <c r="E254" s="336">
        <f t="shared" si="56"/>
        <v>0</v>
      </c>
      <c r="F254" s="336">
        <f t="shared" ca="1" si="47"/>
        <v>0</v>
      </c>
      <c r="G254" s="336">
        <f t="shared" ca="1" si="51"/>
        <v>0</v>
      </c>
      <c r="H254" s="336">
        <f t="shared" ca="1" si="52"/>
        <v>0</v>
      </c>
      <c r="I254" s="337">
        <f t="shared" ca="1" si="48"/>
        <v>0</v>
      </c>
    </row>
    <row r="255" spans="1:9">
      <c r="A255" s="335">
        <f t="shared" si="49"/>
        <v>238</v>
      </c>
      <c r="B255" s="340">
        <f t="shared" si="53"/>
        <v>53509</v>
      </c>
      <c r="C255" s="336">
        <f t="shared" ca="1" si="50"/>
        <v>0</v>
      </c>
      <c r="D255" s="335"/>
      <c r="E255" s="336">
        <f t="shared" si="56"/>
        <v>0</v>
      </c>
      <c r="F255" s="336">
        <f t="shared" ca="1" si="47"/>
        <v>0</v>
      </c>
      <c r="G255" s="336">
        <f t="shared" ca="1" si="51"/>
        <v>0</v>
      </c>
      <c r="H255" s="336">
        <f t="shared" ca="1" si="52"/>
        <v>0</v>
      </c>
      <c r="I255" s="337">
        <f t="shared" ca="1" si="48"/>
        <v>0</v>
      </c>
    </row>
    <row r="256" spans="1:9">
      <c r="A256" s="335">
        <f t="shared" si="49"/>
        <v>239</v>
      </c>
      <c r="B256" s="340">
        <f t="shared" si="53"/>
        <v>53540</v>
      </c>
      <c r="C256" s="336">
        <f t="shared" ca="1" si="50"/>
        <v>0</v>
      </c>
      <c r="D256" s="335"/>
      <c r="E256" s="336">
        <f t="shared" si="56"/>
        <v>0</v>
      </c>
      <c r="F256" s="336">
        <f t="shared" ca="1" si="47"/>
        <v>0</v>
      </c>
      <c r="G256" s="336">
        <f t="shared" ca="1" si="51"/>
        <v>0</v>
      </c>
      <c r="H256" s="336">
        <f t="shared" ca="1" si="52"/>
        <v>0</v>
      </c>
      <c r="I256" s="337">
        <f t="shared" ca="1" si="48"/>
        <v>0</v>
      </c>
    </row>
    <row r="257" spans="1:9">
      <c r="A257" s="335">
        <f t="shared" si="49"/>
        <v>240</v>
      </c>
      <c r="B257" s="340">
        <f t="shared" si="53"/>
        <v>53571</v>
      </c>
      <c r="C257" s="336">
        <f t="shared" ca="1" si="50"/>
        <v>0</v>
      </c>
      <c r="D257" s="336">
        <f ca="1">IF(H257&lt;0,0,0.5*(K37-L37))</f>
        <v>1026574</v>
      </c>
      <c r="E257" s="336">
        <f t="shared" ca="1" si="56"/>
        <v>0</v>
      </c>
      <c r="F257" s="336">
        <f t="shared" ca="1" si="47"/>
        <v>0</v>
      </c>
      <c r="G257" s="336">
        <f t="shared" ca="1" si="51"/>
        <v>0</v>
      </c>
      <c r="H257" s="336">
        <f t="shared" ca="1" si="52"/>
        <v>0</v>
      </c>
      <c r="I257" s="337">
        <f t="shared" ca="1" si="48"/>
        <v>1026574</v>
      </c>
    </row>
    <row r="258" spans="1:9">
      <c r="A258" s="335">
        <f t="shared" si="49"/>
        <v>241</v>
      </c>
      <c r="B258" s="340">
        <f t="shared" si="53"/>
        <v>53601</v>
      </c>
      <c r="C258" s="336">
        <f t="shared" ca="1" si="50"/>
        <v>0</v>
      </c>
      <c r="D258" s="336"/>
      <c r="E258" s="336">
        <f t="shared" ref="E258:E269" si="57">IF($D$10=1,IF(OR(MONTH(B258)=MONTH(EDATE($D$7,0)),MONTH(B258)=MONTH(EDATE($D$7,6))),(MIN($D$257,H257)),0),IF($D$10=0,IF(OR(MONTH(B258)=MONTH(EDATE($D$7,5)),MONTH(B258)=MONTH(EDATE($D$7,11))),(MIN($D$257,H257)),0)))</f>
        <v>0</v>
      </c>
      <c r="F258" s="336">
        <f t="shared" ca="1" si="47"/>
        <v>0</v>
      </c>
      <c r="G258" s="336">
        <f t="shared" ca="1" si="51"/>
        <v>0</v>
      </c>
      <c r="H258" s="336">
        <f t="shared" ca="1" si="52"/>
        <v>0</v>
      </c>
      <c r="I258" s="337">
        <f t="shared" ca="1" si="48"/>
        <v>0</v>
      </c>
    </row>
    <row r="259" spans="1:9">
      <c r="A259" s="335">
        <f t="shared" si="49"/>
        <v>242</v>
      </c>
      <c r="B259" s="340">
        <f t="shared" si="53"/>
        <v>53632</v>
      </c>
      <c r="C259" s="336">
        <f t="shared" ca="1" si="50"/>
        <v>0</v>
      </c>
      <c r="D259" s="335"/>
      <c r="E259" s="336">
        <f t="shared" si="57"/>
        <v>0</v>
      </c>
      <c r="F259" s="336">
        <f t="shared" ca="1" si="47"/>
        <v>0</v>
      </c>
      <c r="G259" s="336">
        <f t="shared" ca="1" si="51"/>
        <v>0</v>
      </c>
      <c r="H259" s="336">
        <f t="shared" ca="1" si="52"/>
        <v>0</v>
      </c>
      <c r="I259" s="337">
        <f t="shared" ca="1" si="48"/>
        <v>0</v>
      </c>
    </row>
    <row r="260" spans="1:9">
      <c r="A260" s="335">
        <f t="shared" si="49"/>
        <v>243</v>
      </c>
      <c r="B260" s="340">
        <f t="shared" si="53"/>
        <v>53662</v>
      </c>
      <c r="C260" s="336">
        <f t="shared" ca="1" si="50"/>
        <v>0</v>
      </c>
      <c r="D260" s="335"/>
      <c r="E260" s="336">
        <f t="shared" si="57"/>
        <v>0</v>
      </c>
      <c r="F260" s="336">
        <f t="shared" ca="1" si="47"/>
        <v>0</v>
      </c>
      <c r="G260" s="336">
        <f t="shared" ca="1" si="51"/>
        <v>0</v>
      </c>
      <c r="H260" s="336">
        <f t="shared" ca="1" si="52"/>
        <v>0</v>
      </c>
      <c r="I260" s="337">
        <f t="shared" ca="1" si="48"/>
        <v>0</v>
      </c>
    </row>
    <row r="261" spans="1:9">
      <c r="A261" s="335">
        <f t="shared" si="49"/>
        <v>244</v>
      </c>
      <c r="B261" s="340">
        <f t="shared" si="53"/>
        <v>53693</v>
      </c>
      <c r="C261" s="336">
        <f t="shared" ca="1" si="50"/>
        <v>0</v>
      </c>
      <c r="D261" s="335"/>
      <c r="E261" s="336">
        <f t="shared" si="57"/>
        <v>0</v>
      </c>
      <c r="F261" s="336">
        <f t="shared" ca="1" si="47"/>
        <v>0</v>
      </c>
      <c r="G261" s="336">
        <f t="shared" ca="1" si="51"/>
        <v>0</v>
      </c>
      <c r="H261" s="336">
        <f t="shared" ca="1" si="52"/>
        <v>0</v>
      </c>
      <c r="I261" s="337">
        <f t="shared" ca="1" si="48"/>
        <v>0</v>
      </c>
    </row>
    <row r="262" spans="1:9">
      <c r="A262" s="335">
        <f t="shared" si="49"/>
        <v>245</v>
      </c>
      <c r="B262" s="340">
        <f t="shared" si="53"/>
        <v>53724</v>
      </c>
      <c r="C262" s="336">
        <f t="shared" ca="1" si="50"/>
        <v>0</v>
      </c>
      <c r="D262" s="335"/>
      <c r="E262" s="336">
        <f t="shared" si="57"/>
        <v>0</v>
      </c>
      <c r="F262" s="336">
        <f t="shared" ca="1" si="47"/>
        <v>0</v>
      </c>
      <c r="G262" s="336">
        <f t="shared" ca="1" si="51"/>
        <v>0</v>
      </c>
      <c r="H262" s="336">
        <f t="shared" ca="1" si="52"/>
        <v>0</v>
      </c>
      <c r="I262" s="337">
        <f t="shared" ca="1" si="48"/>
        <v>0</v>
      </c>
    </row>
    <row r="263" spans="1:9">
      <c r="A263" s="335">
        <f t="shared" si="49"/>
        <v>246</v>
      </c>
      <c r="B263" s="340">
        <f t="shared" si="53"/>
        <v>53752</v>
      </c>
      <c r="C263" s="336">
        <f t="shared" ca="1" si="50"/>
        <v>0</v>
      </c>
      <c r="D263" s="335"/>
      <c r="E263" s="336">
        <f t="shared" ca="1" si="57"/>
        <v>0</v>
      </c>
      <c r="F263" s="336">
        <f t="shared" ca="1" si="47"/>
        <v>0</v>
      </c>
      <c r="G263" s="336">
        <f t="shared" ca="1" si="51"/>
        <v>0</v>
      </c>
      <c r="H263" s="336">
        <f t="shared" ca="1" si="52"/>
        <v>0</v>
      </c>
      <c r="I263" s="337">
        <f t="shared" ca="1" si="48"/>
        <v>0</v>
      </c>
    </row>
    <row r="264" spans="1:9">
      <c r="A264" s="335">
        <f t="shared" si="49"/>
        <v>247</v>
      </c>
      <c r="B264" s="340">
        <f t="shared" si="53"/>
        <v>53783</v>
      </c>
      <c r="C264" s="336">
        <f t="shared" ca="1" si="50"/>
        <v>0</v>
      </c>
      <c r="D264" s="335"/>
      <c r="E264" s="336">
        <f t="shared" si="57"/>
        <v>0</v>
      </c>
      <c r="F264" s="336">
        <f t="shared" ca="1" si="47"/>
        <v>0</v>
      </c>
      <c r="G264" s="336">
        <f t="shared" ca="1" si="51"/>
        <v>0</v>
      </c>
      <c r="H264" s="336">
        <f t="shared" ca="1" si="52"/>
        <v>0</v>
      </c>
      <c r="I264" s="337">
        <f t="shared" ca="1" si="48"/>
        <v>0</v>
      </c>
    </row>
    <row r="265" spans="1:9">
      <c r="A265" s="335">
        <f t="shared" si="49"/>
        <v>248</v>
      </c>
      <c r="B265" s="340">
        <f t="shared" si="53"/>
        <v>53813</v>
      </c>
      <c r="C265" s="336">
        <f t="shared" ca="1" si="50"/>
        <v>0</v>
      </c>
      <c r="D265" s="335"/>
      <c r="E265" s="336">
        <f t="shared" si="57"/>
        <v>0</v>
      </c>
      <c r="F265" s="336">
        <f t="shared" ca="1" si="47"/>
        <v>0</v>
      </c>
      <c r="G265" s="336">
        <f t="shared" ca="1" si="51"/>
        <v>0</v>
      </c>
      <c r="H265" s="336">
        <f t="shared" ca="1" si="52"/>
        <v>0</v>
      </c>
      <c r="I265" s="337">
        <f t="shared" ca="1" si="48"/>
        <v>0</v>
      </c>
    </row>
    <row r="266" spans="1:9">
      <c r="A266" s="335">
        <f t="shared" si="49"/>
        <v>249</v>
      </c>
      <c r="B266" s="340">
        <f t="shared" si="53"/>
        <v>53844</v>
      </c>
      <c r="C266" s="336">
        <f t="shared" ca="1" si="50"/>
        <v>0</v>
      </c>
      <c r="D266" s="335"/>
      <c r="E266" s="336">
        <f t="shared" si="57"/>
        <v>0</v>
      </c>
      <c r="F266" s="336">
        <f t="shared" ca="1" si="47"/>
        <v>0</v>
      </c>
      <c r="G266" s="336">
        <f t="shared" ca="1" si="51"/>
        <v>0</v>
      </c>
      <c r="H266" s="336">
        <f t="shared" ca="1" si="52"/>
        <v>0</v>
      </c>
      <c r="I266" s="337">
        <f t="shared" ca="1" si="48"/>
        <v>0</v>
      </c>
    </row>
    <row r="267" spans="1:9">
      <c r="A267" s="335">
        <f t="shared" si="49"/>
        <v>250</v>
      </c>
      <c r="B267" s="340">
        <f t="shared" si="53"/>
        <v>53874</v>
      </c>
      <c r="C267" s="336">
        <f t="shared" ca="1" si="50"/>
        <v>0</v>
      </c>
      <c r="D267" s="335"/>
      <c r="E267" s="336">
        <f t="shared" si="57"/>
        <v>0</v>
      </c>
      <c r="F267" s="336">
        <f t="shared" ca="1" si="47"/>
        <v>0</v>
      </c>
      <c r="G267" s="336">
        <f t="shared" ca="1" si="51"/>
        <v>0</v>
      </c>
      <c r="H267" s="336">
        <f t="shared" ca="1" si="52"/>
        <v>0</v>
      </c>
      <c r="I267" s="337">
        <f t="shared" ca="1" si="48"/>
        <v>0</v>
      </c>
    </row>
    <row r="268" spans="1:9">
      <c r="A268" s="335">
        <f t="shared" si="49"/>
        <v>251</v>
      </c>
      <c r="B268" s="340">
        <f t="shared" si="53"/>
        <v>53905</v>
      </c>
      <c r="C268" s="336">
        <f t="shared" ca="1" si="50"/>
        <v>0</v>
      </c>
      <c r="D268" s="335"/>
      <c r="E268" s="336">
        <f t="shared" si="57"/>
        <v>0</v>
      </c>
      <c r="F268" s="336">
        <f t="shared" ca="1" si="47"/>
        <v>0</v>
      </c>
      <c r="G268" s="336">
        <f t="shared" ca="1" si="51"/>
        <v>0</v>
      </c>
      <c r="H268" s="336">
        <f t="shared" ca="1" si="52"/>
        <v>0</v>
      </c>
      <c r="I268" s="337">
        <f t="shared" ca="1" si="48"/>
        <v>0</v>
      </c>
    </row>
    <row r="269" spans="1:9">
      <c r="A269" s="335">
        <f t="shared" si="49"/>
        <v>252</v>
      </c>
      <c r="B269" s="340">
        <f t="shared" si="53"/>
        <v>53936</v>
      </c>
      <c r="C269" s="336">
        <f t="shared" ca="1" si="50"/>
        <v>0</v>
      </c>
      <c r="D269" s="336">
        <f ca="1">IF(H269&lt;0,0,0.5*(K38-L38))</f>
        <v>1049183</v>
      </c>
      <c r="E269" s="336">
        <f t="shared" ca="1" si="57"/>
        <v>0</v>
      </c>
      <c r="F269" s="336">
        <f t="shared" ca="1" si="47"/>
        <v>0</v>
      </c>
      <c r="G269" s="336">
        <f t="shared" ca="1" si="51"/>
        <v>0</v>
      </c>
      <c r="H269" s="336">
        <f t="shared" ca="1" si="52"/>
        <v>0</v>
      </c>
      <c r="I269" s="337">
        <f t="shared" ca="1" si="48"/>
        <v>1049183</v>
      </c>
    </row>
    <row r="270" spans="1:9">
      <c r="A270" s="335">
        <f t="shared" si="49"/>
        <v>253</v>
      </c>
      <c r="B270" s="340">
        <f t="shared" si="53"/>
        <v>53966</v>
      </c>
      <c r="C270" s="336">
        <f t="shared" ca="1" si="50"/>
        <v>0</v>
      </c>
      <c r="D270" s="336"/>
      <c r="E270" s="336">
        <f t="shared" ref="E270:E281" si="58">IF($D$10=1,IF(OR(MONTH(B270)=MONTH(EDATE($D$7,0)),MONTH(B270)=MONTH(EDATE($D$7,6))),(MIN($D$269,H269)),0),IF($D$10=0,IF(OR(MONTH(B270)=MONTH(EDATE($D$7,5)),MONTH(B270)=MONTH(EDATE($D$7,11))),(MIN($D$269,H269)),0)))</f>
        <v>0</v>
      </c>
      <c r="F270" s="336">
        <f t="shared" ca="1" si="47"/>
        <v>0</v>
      </c>
      <c r="G270" s="336">
        <f t="shared" ca="1" si="51"/>
        <v>0</v>
      </c>
      <c r="H270" s="336">
        <f t="shared" ca="1" si="52"/>
        <v>0</v>
      </c>
      <c r="I270" s="337">
        <f t="shared" ca="1" si="48"/>
        <v>0</v>
      </c>
    </row>
    <row r="271" spans="1:9">
      <c r="A271" s="335">
        <f t="shared" si="49"/>
        <v>254</v>
      </c>
      <c r="B271" s="340">
        <f t="shared" si="53"/>
        <v>53997</v>
      </c>
      <c r="C271" s="336">
        <f t="shared" ca="1" si="50"/>
        <v>0</v>
      </c>
      <c r="D271" s="335"/>
      <c r="E271" s="336">
        <f t="shared" si="58"/>
        <v>0</v>
      </c>
      <c r="F271" s="336">
        <f t="shared" ca="1" si="47"/>
        <v>0</v>
      </c>
      <c r="G271" s="336">
        <f t="shared" ca="1" si="51"/>
        <v>0</v>
      </c>
      <c r="H271" s="336">
        <f t="shared" ca="1" si="52"/>
        <v>0</v>
      </c>
      <c r="I271" s="337">
        <f t="shared" ca="1" si="48"/>
        <v>0</v>
      </c>
    </row>
    <row r="272" spans="1:9">
      <c r="A272" s="335">
        <f t="shared" si="49"/>
        <v>255</v>
      </c>
      <c r="B272" s="340">
        <f t="shared" si="53"/>
        <v>54027</v>
      </c>
      <c r="C272" s="336">
        <f t="shared" ca="1" si="50"/>
        <v>0</v>
      </c>
      <c r="D272" s="335"/>
      <c r="E272" s="336">
        <f t="shared" si="58"/>
        <v>0</v>
      </c>
      <c r="F272" s="336">
        <f t="shared" ca="1" si="47"/>
        <v>0</v>
      </c>
      <c r="G272" s="336">
        <f t="shared" ca="1" si="51"/>
        <v>0</v>
      </c>
      <c r="H272" s="336">
        <f t="shared" ca="1" si="52"/>
        <v>0</v>
      </c>
      <c r="I272" s="337">
        <f t="shared" ca="1" si="48"/>
        <v>0</v>
      </c>
    </row>
    <row r="273" spans="1:9">
      <c r="A273" s="335">
        <f t="shared" si="49"/>
        <v>256</v>
      </c>
      <c r="B273" s="340">
        <f t="shared" si="53"/>
        <v>54058</v>
      </c>
      <c r="C273" s="336">
        <f t="shared" ca="1" si="50"/>
        <v>0</v>
      </c>
      <c r="D273" s="335"/>
      <c r="E273" s="336">
        <f t="shared" si="58"/>
        <v>0</v>
      </c>
      <c r="F273" s="336">
        <f t="shared" ca="1" si="47"/>
        <v>0</v>
      </c>
      <c r="G273" s="336">
        <f t="shared" ca="1" si="51"/>
        <v>0</v>
      </c>
      <c r="H273" s="336">
        <f t="shared" ca="1" si="52"/>
        <v>0</v>
      </c>
      <c r="I273" s="337">
        <f t="shared" ca="1" si="48"/>
        <v>0</v>
      </c>
    </row>
    <row r="274" spans="1:9">
      <c r="A274" s="335">
        <f t="shared" si="49"/>
        <v>257</v>
      </c>
      <c r="B274" s="340">
        <f t="shared" si="53"/>
        <v>54089</v>
      </c>
      <c r="C274" s="336">
        <f t="shared" ca="1" si="50"/>
        <v>0</v>
      </c>
      <c r="D274" s="335"/>
      <c r="E274" s="336">
        <f t="shared" si="58"/>
        <v>0</v>
      </c>
      <c r="F274" s="336">
        <f t="shared" ref="F274:F317" ca="1" si="59">IF(E274="","",E274-G274)</f>
        <v>0</v>
      </c>
      <c r="G274" s="336">
        <f t="shared" ca="1" si="51"/>
        <v>0</v>
      </c>
      <c r="H274" s="336">
        <f t="shared" ca="1" si="52"/>
        <v>0</v>
      </c>
      <c r="I274" s="337">
        <f t="shared" ref="I274:I317" ca="1" si="60">ROUND((D274-H274),0)</f>
        <v>0</v>
      </c>
    </row>
    <row r="275" spans="1:9">
      <c r="A275" s="335">
        <f t="shared" ref="A275:A338" si="61">IF(A274="","",IF(A274=$D$6,"",A274+1))</f>
        <v>258</v>
      </c>
      <c r="B275" s="340">
        <f t="shared" si="53"/>
        <v>54118</v>
      </c>
      <c r="C275" s="336">
        <f t="shared" ref="C275:C317" ca="1" si="62">IF(H274=0,0,H274)</f>
        <v>0</v>
      </c>
      <c r="D275" s="335"/>
      <c r="E275" s="336">
        <f t="shared" ca="1" si="58"/>
        <v>0</v>
      </c>
      <c r="F275" s="336">
        <f t="shared" ca="1" si="59"/>
        <v>0</v>
      </c>
      <c r="G275" s="336">
        <f t="shared" ref="G275:G317" ca="1" si="63">ROUND((C275-E275)*$D$5,3)</f>
        <v>0</v>
      </c>
      <c r="H275" s="336">
        <f t="shared" ref="H275:H317" ca="1" si="64">IF(E275="","",ROUND(H274-F275,4))</f>
        <v>0</v>
      </c>
      <c r="I275" s="337">
        <f t="shared" ca="1" si="60"/>
        <v>0</v>
      </c>
    </row>
    <row r="276" spans="1:9">
      <c r="A276" s="335">
        <f t="shared" si="61"/>
        <v>259</v>
      </c>
      <c r="B276" s="340">
        <f t="shared" ref="B276:B339" si="65">DATE(YEAR(B275),MONTH(B275)+1,1)</f>
        <v>54149</v>
      </c>
      <c r="C276" s="336">
        <f t="shared" ca="1" si="62"/>
        <v>0</v>
      </c>
      <c r="D276" s="335"/>
      <c r="E276" s="336">
        <f t="shared" si="58"/>
        <v>0</v>
      </c>
      <c r="F276" s="336">
        <f t="shared" ca="1" si="59"/>
        <v>0</v>
      </c>
      <c r="G276" s="336">
        <f t="shared" ca="1" si="63"/>
        <v>0</v>
      </c>
      <c r="H276" s="336">
        <f t="shared" ca="1" si="64"/>
        <v>0</v>
      </c>
      <c r="I276" s="337">
        <f t="shared" ca="1" si="60"/>
        <v>0</v>
      </c>
    </row>
    <row r="277" spans="1:9">
      <c r="A277" s="335">
        <f t="shared" si="61"/>
        <v>260</v>
      </c>
      <c r="B277" s="340">
        <f t="shared" si="65"/>
        <v>54179</v>
      </c>
      <c r="C277" s="336">
        <f t="shared" ca="1" si="62"/>
        <v>0</v>
      </c>
      <c r="D277" s="335"/>
      <c r="E277" s="336">
        <f t="shared" si="58"/>
        <v>0</v>
      </c>
      <c r="F277" s="336">
        <f t="shared" ca="1" si="59"/>
        <v>0</v>
      </c>
      <c r="G277" s="336">
        <f t="shared" ca="1" si="63"/>
        <v>0</v>
      </c>
      <c r="H277" s="336">
        <f t="shared" ca="1" si="64"/>
        <v>0</v>
      </c>
      <c r="I277" s="337">
        <f t="shared" ca="1" si="60"/>
        <v>0</v>
      </c>
    </row>
    <row r="278" spans="1:9">
      <c r="A278" s="335">
        <f t="shared" si="61"/>
        <v>261</v>
      </c>
      <c r="B278" s="340">
        <f t="shared" si="65"/>
        <v>54210</v>
      </c>
      <c r="C278" s="336">
        <f t="shared" ca="1" si="62"/>
        <v>0</v>
      </c>
      <c r="D278" s="335"/>
      <c r="E278" s="336">
        <f t="shared" si="58"/>
        <v>0</v>
      </c>
      <c r="F278" s="336">
        <f t="shared" ca="1" si="59"/>
        <v>0</v>
      </c>
      <c r="G278" s="336">
        <f t="shared" ca="1" si="63"/>
        <v>0</v>
      </c>
      <c r="H278" s="336">
        <f t="shared" ca="1" si="64"/>
        <v>0</v>
      </c>
      <c r="I278" s="337">
        <f t="shared" ca="1" si="60"/>
        <v>0</v>
      </c>
    </row>
    <row r="279" spans="1:9">
      <c r="A279" s="335">
        <f t="shared" si="61"/>
        <v>262</v>
      </c>
      <c r="B279" s="340">
        <f t="shared" si="65"/>
        <v>54240</v>
      </c>
      <c r="C279" s="336">
        <f t="shared" ca="1" si="62"/>
        <v>0</v>
      </c>
      <c r="D279" s="335"/>
      <c r="E279" s="336">
        <f t="shared" si="58"/>
        <v>0</v>
      </c>
      <c r="F279" s="336">
        <f t="shared" ca="1" si="59"/>
        <v>0</v>
      </c>
      <c r="G279" s="336">
        <f t="shared" ca="1" si="63"/>
        <v>0</v>
      </c>
      <c r="H279" s="336">
        <f t="shared" ca="1" si="64"/>
        <v>0</v>
      </c>
      <c r="I279" s="337">
        <f t="shared" ca="1" si="60"/>
        <v>0</v>
      </c>
    </row>
    <row r="280" spans="1:9">
      <c r="A280" s="335">
        <f t="shared" si="61"/>
        <v>263</v>
      </c>
      <c r="B280" s="340">
        <f t="shared" si="65"/>
        <v>54271</v>
      </c>
      <c r="C280" s="336">
        <f t="shared" ca="1" si="62"/>
        <v>0</v>
      </c>
      <c r="D280" s="335"/>
      <c r="E280" s="336">
        <f t="shared" si="58"/>
        <v>0</v>
      </c>
      <c r="F280" s="336">
        <f t="shared" ca="1" si="59"/>
        <v>0</v>
      </c>
      <c r="G280" s="336">
        <f t="shared" ca="1" si="63"/>
        <v>0</v>
      </c>
      <c r="H280" s="336">
        <f t="shared" ca="1" si="64"/>
        <v>0</v>
      </c>
      <c r="I280" s="337">
        <f t="shared" ca="1" si="60"/>
        <v>0</v>
      </c>
    </row>
    <row r="281" spans="1:9">
      <c r="A281" s="335">
        <f t="shared" si="61"/>
        <v>264</v>
      </c>
      <c r="B281" s="340">
        <f t="shared" si="65"/>
        <v>54302</v>
      </c>
      <c r="C281" s="336">
        <f t="shared" ca="1" si="62"/>
        <v>0</v>
      </c>
      <c r="D281" s="336">
        <f ca="1">IF(H281&lt;0,0,0.5*(K39-L39))</f>
        <v>1072416</v>
      </c>
      <c r="E281" s="336">
        <f t="shared" ca="1" si="58"/>
        <v>0</v>
      </c>
      <c r="F281" s="336">
        <f t="shared" ca="1" si="59"/>
        <v>0</v>
      </c>
      <c r="G281" s="336">
        <f t="shared" ca="1" si="63"/>
        <v>0</v>
      </c>
      <c r="H281" s="336">
        <f t="shared" ca="1" si="64"/>
        <v>0</v>
      </c>
      <c r="I281" s="337">
        <f t="shared" ca="1" si="60"/>
        <v>1072416</v>
      </c>
    </row>
    <row r="282" spans="1:9">
      <c r="A282" s="335">
        <f t="shared" si="61"/>
        <v>265</v>
      </c>
      <c r="B282" s="340">
        <f t="shared" si="65"/>
        <v>54332</v>
      </c>
      <c r="C282" s="336">
        <f t="shared" ca="1" si="62"/>
        <v>0</v>
      </c>
      <c r="D282" s="336"/>
      <c r="E282" s="336">
        <f t="shared" ref="E282:E293" si="66">IF($D$10=1,IF(OR(MONTH(B282)=MONTH(EDATE($D$7,0)),MONTH(B282)=MONTH(EDATE($D$7,6))),(MIN($D$281,H281)),0),IF($D$10=0,IF(OR(MONTH(B282)=MONTH(EDATE($D$7,5)),MONTH(B282)=MONTH(EDATE($D$7,11))),(MIN($D$281,H281)),0)))</f>
        <v>0</v>
      </c>
      <c r="F282" s="336">
        <f t="shared" ca="1" si="59"/>
        <v>0</v>
      </c>
      <c r="G282" s="336">
        <f t="shared" ca="1" si="63"/>
        <v>0</v>
      </c>
      <c r="H282" s="336">
        <f t="shared" ca="1" si="64"/>
        <v>0</v>
      </c>
      <c r="I282" s="337">
        <f t="shared" ca="1" si="60"/>
        <v>0</v>
      </c>
    </row>
    <row r="283" spans="1:9">
      <c r="A283" s="335">
        <f t="shared" si="61"/>
        <v>266</v>
      </c>
      <c r="B283" s="340">
        <f t="shared" si="65"/>
        <v>54363</v>
      </c>
      <c r="C283" s="336">
        <f t="shared" ca="1" si="62"/>
        <v>0</v>
      </c>
      <c r="D283" s="335"/>
      <c r="E283" s="336">
        <f t="shared" si="66"/>
        <v>0</v>
      </c>
      <c r="F283" s="336">
        <f t="shared" ca="1" si="59"/>
        <v>0</v>
      </c>
      <c r="G283" s="336">
        <f t="shared" ca="1" si="63"/>
        <v>0</v>
      </c>
      <c r="H283" s="336">
        <f t="shared" ca="1" si="64"/>
        <v>0</v>
      </c>
      <c r="I283" s="337">
        <f t="shared" ca="1" si="60"/>
        <v>0</v>
      </c>
    </row>
    <row r="284" spans="1:9">
      <c r="A284" s="335">
        <f t="shared" si="61"/>
        <v>267</v>
      </c>
      <c r="B284" s="340">
        <f t="shared" si="65"/>
        <v>54393</v>
      </c>
      <c r="C284" s="336">
        <f t="shared" ca="1" si="62"/>
        <v>0</v>
      </c>
      <c r="D284" s="335"/>
      <c r="E284" s="336">
        <f t="shared" si="66"/>
        <v>0</v>
      </c>
      <c r="F284" s="336">
        <f t="shared" ca="1" si="59"/>
        <v>0</v>
      </c>
      <c r="G284" s="336">
        <f t="shared" ca="1" si="63"/>
        <v>0</v>
      </c>
      <c r="H284" s="336">
        <f t="shared" ca="1" si="64"/>
        <v>0</v>
      </c>
      <c r="I284" s="337">
        <f t="shared" ca="1" si="60"/>
        <v>0</v>
      </c>
    </row>
    <row r="285" spans="1:9">
      <c r="A285" s="335">
        <f t="shared" si="61"/>
        <v>268</v>
      </c>
      <c r="B285" s="340">
        <f t="shared" si="65"/>
        <v>54424</v>
      </c>
      <c r="C285" s="336">
        <f t="shared" ca="1" si="62"/>
        <v>0</v>
      </c>
      <c r="D285" s="335"/>
      <c r="E285" s="336">
        <f t="shared" si="66"/>
        <v>0</v>
      </c>
      <c r="F285" s="336">
        <f t="shared" ca="1" si="59"/>
        <v>0</v>
      </c>
      <c r="G285" s="336">
        <f t="shared" ca="1" si="63"/>
        <v>0</v>
      </c>
      <c r="H285" s="336">
        <f t="shared" ca="1" si="64"/>
        <v>0</v>
      </c>
      <c r="I285" s="337">
        <f t="shared" ca="1" si="60"/>
        <v>0</v>
      </c>
    </row>
    <row r="286" spans="1:9">
      <c r="A286" s="335">
        <f t="shared" si="61"/>
        <v>269</v>
      </c>
      <c r="B286" s="340">
        <f t="shared" si="65"/>
        <v>54455</v>
      </c>
      <c r="C286" s="336">
        <f t="shared" ca="1" si="62"/>
        <v>0</v>
      </c>
      <c r="D286" s="335"/>
      <c r="E286" s="336">
        <f t="shared" si="66"/>
        <v>0</v>
      </c>
      <c r="F286" s="336">
        <f t="shared" ca="1" si="59"/>
        <v>0</v>
      </c>
      <c r="G286" s="336">
        <f t="shared" ca="1" si="63"/>
        <v>0</v>
      </c>
      <c r="H286" s="336">
        <f t="shared" ca="1" si="64"/>
        <v>0</v>
      </c>
      <c r="I286" s="337">
        <f t="shared" ca="1" si="60"/>
        <v>0</v>
      </c>
    </row>
    <row r="287" spans="1:9">
      <c r="A287" s="335">
        <f t="shared" si="61"/>
        <v>270</v>
      </c>
      <c r="B287" s="340">
        <f t="shared" si="65"/>
        <v>54483</v>
      </c>
      <c r="C287" s="336">
        <f t="shared" ca="1" si="62"/>
        <v>0</v>
      </c>
      <c r="D287" s="335"/>
      <c r="E287" s="336">
        <f t="shared" ca="1" si="66"/>
        <v>0</v>
      </c>
      <c r="F287" s="336">
        <f t="shared" ca="1" si="59"/>
        <v>0</v>
      </c>
      <c r="G287" s="336">
        <f t="shared" ca="1" si="63"/>
        <v>0</v>
      </c>
      <c r="H287" s="336">
        <f t="shared" ca="1" si="64"/>
        <v>0</v>
      </c>
      <c r="I287" s="337">
        <f t="shared" ca="1" si="60"/>
        <v>0</v>
      </c>
    </row>
    <row r="288" spans="1:9">
      <c r="A288" s="335">
        <f t="shared" si="61"/>
        <v>271</v>
      </c>
      <c r="B288" s="340">
        <f t="shared" si="65"/>
        <v>54514</v>
      </c>
      <c r="C288" s="336">
        <f t="shared" ca="1" si="62"/>
        <v>0</v>
      </c>
      <c r="D288" s="335"/>
      <c r="E288" s="336">
        <f t="shared" si="66"/>
        <v>0</v>
      </c>
      <c r="F288" s="336">
        <f t="shared" ca="1" si="59"/>
        <v>0</v>
      </c>
      <c r="G288" s="336">
        <f t="shared" ca="1" si="63"/>
        <v>0</v>
      </c>
      <c r="H288" s="336">
        <f t="shared" ca="1" si="64"/>
        <v>0</v>
      </c>
      <c r="I288" s="337">
        <f t="shared" ca="1" si="60"/>
        <v>0</v>
      </c>
    </row>
    <row r="289" spans="1:9">
      <c r="A289" s="335">
        <f t="shared" si="61"/>
        <v>272</v>
      </c>
      <c r="B289" s="340">
        <f t="shared" si="65"/>
        <v>54544</v>
      </c>
      <c r="C289" s="336">
        <f t="shared" ca="1" si="62"/>
        <v>0</v>
      </c>
      <c r="D289" s="335"/>
      <c r="E289" s="336">
        <f t="shared" si="66"/>
        <v>0</v>
      </c>
      <c r="F289" s="336">
        <f t="shared" ca="1" si="59"/>
        <v>0</v>
      </c>
      <c r="G289" s="336">
        <f t="shared" ca="1" si="63"/>
        <v>0</v>
      </c>
      <c r="H289" s="336">
        <f t="shared" ca="1" si="64"/>
        <v>0</v>
      </c>
      <c r="I289" s="337">
        <f t="shared" ca="1" si="60"/>
        <v>0</v>
      </c>
    </row>
    <row r="290" spans="1:9">
      <c r="A290" s="335">
        <f t="shared" si="61"/>
        <v>273</v>
      </c>
      <c r="B290" s="340">
        <f t="shared" si="65"/>
        <v>54575</v>
      </c>
      <c r="C290" s="336">
        <f t="shared" ca="1" si="62"/>
        <v>0</v>
      </c>
      <c r="D290" s="335"/>
      <c r="E290" s="336">
        <f t="shared" si="66"/>
        <v>0</v>
      </c>
      <c r="F290" s="336">
        <f t="shared" ca="1" si="59"/>
        <v>0</v>
      </c>
      <c r="G290" s="336">
        <f t="shared" ca="1" si="63"/>
        <v>0</v>
      </c>
      <c r="H290" s="336">
        <f t="shared" ca="1" si="64"/>
        <v>0</v>
      </c>
      <c r="I290" s="337">
        <f t="shared" ca="1" si="60"/>
        <v>0</v>
      </c>
    </row>
    <row r="291" spans="1:9">
      <c r="A291" s="335">
        <f t="shared" si="61"/>
        <v>274</v>
      </c>
      <c r="B291" s="340">
        <f t="shared" si="65"/>
        <v>54605</v>
      </c>
      <c r="C291" s="336">
        <f t="shared" ca="1" si="62"/>
        <v>0</v>
      </c>
      <c r="D291" s="335"/>
      <c r="E291" s="336">
        <f t="shared" si="66"/>
        <v>0</v>
      </c>
      <c r="F291" s="336">
        <f t="shared" ca="1" si="59"/>
        <v>0</v>
      </c>
      <c r="G291" s="336">
        <f t="shared" ca="1" si="63"/>
        <v>0</v>
      </c>
      <c r="H291" s="336">
        <f t="shared" ca="1" si="64"/>
        <v>0</v>
      </c>
      <c r="I291" s="337">
        <f t="shared" ca="1" si="60"/>
        <v>0</v>
      </c>
    </row>
    <row r="292" spans="1:9">
      <c r="A292" s="335">
        <f t="shared" si="61"/>
        <v>275</v>
      </c>
      <c r="B292" s="340">
        <f t="shared" si="65"/>
        <v>54636</v>
      </c>
      <c r="C292" s="336">
        <f t="shared" ca="1" si="62"/>
        <v>0</v>
      </c>
      <c r="D292" s="335"/>
      <c r="E292" s="336">
        <f t="shared" si="66"/>
        <v>0</v>
      </c>
      <c r="F292" s="336">
        <f t="shared" ca="1" si="59"/>
        <v>0</v>
      </c>
      <c r="G292" s="336">
        <f t="shared" ca="1" si="63"/>
        <v>0</v>
      </c>
      <c r="H292" s="336">
        <f t="shared" ca="1" si="64"/>
        <v>0</v>
      </c>
      <c r="I292" s="337">
        <f t="shared" ca="1" si="60"/>
        <v>0</v>
      </c>
    </row>
    <row r="293" spans="1:9">
      <c r="A293" s="335">
        <f t="shared" si="61"/>
        <v>276</v>
      </c>
      <c r="B293" s="340">
        <f t="shared" si="65"/>
        <v>54667</v>
      </c>
      <c r="C293" s="336">
        <f t="shared" ca="1" si="62"/>
        <v>0</v>
      </c>
      <c r="D293" s="336">
        <f ca="1">IF(H293&lt;0,0,0.5*(K40-L40))</f>
        <v>1096294</v>
      </c>
      <c r="E293" s="336">
        <f t="shared" ca="1" si="66"/>
        <v>0</v>
      </c>
      <c r="F293" s="336">
        <f t="shared" ca="1" si="59"/>
        <v>0</v>
      </c>
      <c r="G293" s="336">
        <f t="shared" ca="1" si="63"/>
        <v>0</v>
      </c>
      <c r="H293" s="336">
        <f t="shared" ca="1" si="64"/>
        <v>0</v>
      </c>
      <c r="I293" s="337">
        <f t="shared" ca="1" si="60"/>
        <v>1096294</v>
      </c>
    </row>
    <row r="294" spans="1:9">
      <c r="A294" s="335">
        <f t="shared" si="61"/>
        <v>277</v>
      </c>
      <c r="B294" s="340">
        <f t="shared" si="65"/>
        <v>54697</v>
      </c>
      <c r="C294" s="336">
        <f t="shared" ca="1" si="62"/>
        <v>0</v>
      </c>
      <c r="D294" s="335"/>
      <c r="E294" s="336">
        <f t="shared" ref="E294:E305" si="67">IF($D$10=1,IF(OR(MONTH(B294)=MONTH(EDATE($D$7,0)),MONTH(B294)=MONTH(EDATE($D$7,6))),(MIN($D$293,H293)),0),IF($D$10=0,IF(OR(MONTH(B294)=MONTH(EDATE($D$7,5)),MONTH(B294)=MONTH(EDATE($D$7,11))),(MIN($D$293,H293)),0)))</f>
        <v>0</v>
      </c>
      <c r="F294" s="336">
        <f t="shared" ca="1" si="59"/>
        <v>0</v>
      </c>
      <c r="G294" s="336">
        <f t="shared" ca="1" si="63"/>
        <v>0</v>
      </c>
      <c r="H294" s="336">
        <f t="shared" ca="1" si="64"/>
        <v>0</v>
      </c>
      <c r="I294" s="337">
        <f t="shared" ca="1" si="60"/>
        <v>0</v>
      </c>
    </row>
    <row r="295" spans="1:9">
      <c r="A295" s="335">
        <f t="shared" si="61"/>
        <v>278</v>
      </c>
      <c r="B295" s="340">
        <f t="shared" si="65"/>
        <v>54728</v>
      </c>
      <c r="C295" s="336">
        <f t="shared" ca="1" si="62"/>
        <v>0</v>
      </c>
      <c r="D295" s="335"/>
      <c r="E295" s="336">
        <f t="shared" si="67"/>
        <v>0</v>
      </c>
      <c r="F295" s="336">
        <f t="shared" ca="1" si="59"/>
        <v>0</v>
      </c>
      <c r="G295" s="336">
        <f t="shared" ca="1" si="63"/>
        <v>0</v>
      </c>
      <c r="H295" s="336">
        <f t="shared" ca="1" si="64"/>
        <v>0</v>
      </c>
      <c r="I295" s="337">
        <f t="shared" ca="1" si="60"/>
        <v>0</v>
      </c>
    </row>
    <row r="296" spans="1:9">
      <c r="A296" s="335">
        <f t="shared" si="61"/>
        <v>279</v>
      </c>
      <c r="B296" s="340">
        <f t="shared" si="65"/>
        <v>54758</v>
      </c>
      <c r="C296" s="336">
        <f t="shared" ca="1" si="62"/>
        <v>0</v>
      </c>
      <c r="D296" s="335"/>
      <c r="E296" s="336">
        <f t="shared" si="67"/>
        <v>0</v>
      </c>
      <c r="F296" s="336">
        <f t="shared" ca="1" si="59"/>
        <v>0</v>
      </c>
      <c r="G296" s="336">
        <f t="shared" ca="1" si="63"/>
        <v>0</v>
      </c>
      <c r="H296" s="336">
        <f t="shared" ca="1" si="64"/>
        <v>0</v>
      </c>
      <c r="I296" s="337">
        <f t="shared" ca="1" si="60"/>
        <v>0</v>
      </c>
    </row>
    <row r="297" spans="1:9">
      <c r="A297" s="335">
        <f t="shared" si="61"/>
        <v>280</v>
      </c>
      <c r="B297" s="340">
        <f t="shared" si="65"/>
        <v>54789</v>
      </c>
      <c r="C297" s="336">
        <f t="shared" ca="1" si="62"/>
        <v>0</v>
      </c>
      <c r="D297" s="335"/>
      <c r="E297" s="336">
        <f t="shared" si="67"/>
        <v>0</v>
      </c>
      <c r="F297" s="336">
        <f t="shared" ca="1" si="59"/>
        <v>0</v>
      </c>
      <c r="G297" s="336">
        <f t="shared" ca="1" si="63"/>
        <v>0</v>
      </c>
      <c r="H297" s="336">
        <f t="shared" ca="1" si="64"/>
        <v>0</v>
      </c>
      <c r="I297" s="337">
        <f t="shared" ca="1" si="60"/>
        <v>0</v>
      </c>
    </row>
    <row r="298" spans="1:9">
      <c r="A298" s="335">
        <f t="shared" si="61"/>
        <v>281</v>
      </c>
      <c r="B298" s="340">
        <f t="shared" si="65"/>
        <v>54820</v>
      </c>
      <c r="C298" s="336">
        <f t="shared" ca="1" si="62"/>
        <v>0</v>
      </c>
      <c r="D298" s="335"/>
      <c r="E298" s="336">
        <f t="shared" si="67"/>
        <v>0</v>
      </c>
      <c r="F298" s="336">
        <f t="shared" ca="1" si="59"/>
        <v>0</v>
      </c>
      <c r="G298" s="336">
        <f t="shared" ca="1" si="63"/>
        <v>0</v>
      </c>
      <c r="H298" s="336">
        <f t="shared" ca="1" si="64"/>
        <v>0</v>
      </c>
      <c r="I298" s="337">
        <f t="shared" ca="1" si="60"/>
        <v>0</v>
      </c>
    </row>
    <row r="299" spans="1:9">
      <c r="A299" s="335">
        <f t="shared" si="61"/>
        <v>282</v>
      </c>
      <c r="B299" s="340">
        <f t="shared" si="65"/>
        <v>54848</v>
      </c>
      <c r="C299" s="336">
        <f t="shared" ca="1" si="62"/>
        <v>0</v>
      </c>
      <c r="D299" s="335"/>
      <c r="E299" s="336">
        <f t="shared" ca="1" si="67"/>
        <v>0</v>
      </c>
      <c r="F299" s="336">
        <f t="shared" ca="1" si="59"/>
        <v>0</v>
      </c>
      <c r="G299" s="336">
        <f t="shared" ca="1" si="63"/>
        <v>0</v>
      </c>
      <c r="H299" s="336">
        <f t="shared" ca="1" si="64"/>
        <v>0</v>
      </c>
      <c r="I299" s="337">
        <f t="shared" ca="1" si="60"/>
        <v>0</v>
      </c>
    </row>
    <row r="300" spans="1:9">
      <c r="A300" s="335">
        <f t="shared" si="61"/>
        <v>283</v>
      </c>
      <c r="B300" s="340">
        <f t="shared" si="65"/>
        <v>54879</v>
      </c>
      <c r="C300" s="336">
        <f t="shared" ca="1" si="62"/>
        <v>0</v>
      </c>
      <c r="D300" s="335"/>
      <c r="E300" s="336">
        <f t="shared" si="67"/>
        <v>0</v>
      </c>
      <c r="F300" s="336">
        <f t="shared" ca="1" si="59"/>
        <v>0</v>
      </c>
      <c r="G300" s="336">
        <f t="shared" ca="1" si="63"/>
        <v>0</v>
      </c>
      <c r="H300" s="336">
        <f t="shared" ca="1" si="64"/>
        <v>0</v>
      </c>
      <c r="I300" s="337">
        <f t="shared" ca="1" si="60"/>
        <v>0</v>
      </c>
    </row>
    <row r="301" spans="1:9">
      <c r="A301" s="335">
        <f t="shared" si="61"/>
        <v>284</v>
      </c>
      <c r="B301" s="340">
        <f t="shared" si="65"/>
        <v>54909</v>
      </c>
      <c r="C301" s="336">
        <f t="shared" ca="1" si="62"/>
        <v>0</v>
      </c>
      <c r="D301" s="335"/>
      <c r="E301" s="336">
        <f t="shared" si="67"/>
        <v>0</v>
      </c>
      <c r="F301" s="336">
        <f t="shared" ca="1" si="59"/>
        <v>0</v>
      </c>
      <c r="G301" s="336">
        <f t="shared" ca="1" si="63"/>
        <v>0</v>
      </c>
      <c r="H301" s="336">
        <f t="shared" ca="1" si="64"/>
        <v>0</v>
      </c>
      <c r="I301" s="337">
        <f t="shared" ca="1" si="60"/>
        <v>0</v>
      </c>
    </row>
    <row r="302" spans="1:9">
      <c r="A302" s="335">
        <f t="shared" si="61"/>
        <v>285</v>
      </c>
      <c r="B302" s="340">
        <f t="shared" si="65"/>
        <v>54940</v>
      </c>
      <c r="C302" s="336">
        <f t="shared" ca="1" si="62"/>
        <v>0</v>
      </c>
      <c r="D302" s="335"/>
      <c r="E302" s="336">
        <f t="shared" si="67"/>
        <v>0</v>
      </c>
      <c r="F302" s="336">
        <f ca="1">IF(E302="","",E302-G302)</f>
        <v>0</v>
      </c>
      <c r="G302" s="336">
        <f t="shared" ca="1" si="63"/>
        <v>0</v>
      </c>
      <c r="H302" s="336">
        <f t="shared" ca="1" si="64"/>
        <v>0</v>
      </c>
      <c r="I302" s="337">
        <f t="shared" ca="1" si="60"/>
        <v>0</v>
      </c>
    </row>
    <row r="303" spans="1:9">
      <c r="A303" s="335">
        <f t="shared" si="61"/>
        <v>286</v>
      </c>
      <c r="B303" s="340">
        <f t="shared" si="65"/>
        <v>54970</v>
      </c>
      <c r="C303" s="336">
        <f t="shared" ca="1" si="62"/>
        <v>0</v>
      </c>
      <c r="D303" s="335"/>
      <c r="E303" s="336">
        <f t="shared" si="67"/>
        <v>0</v>
      </c>
      <c r="F303" s="336">
        <f t="shared" ca="1" si="59"/>
        <v>0</v>
      </c>
      <c r="G303" s="336">
        <f t="shared" ca="1" si="63"/>
        <v>0</v>
      </c>
      <c r="H303" s="336">
        <f t="shared" ca="1" si="64"/>
        <v>0</v>
      </c>
      <c r="I303" s="337">
        <f t="shared" ca="1" si="60"/>
        <v>0</v>
      </c>
    </row>
    <row r="304" spans="1:9">
      <c r="A304" s="335">
        <f t="shared" si="61"/>
        <v>287</v>
      </c>
      <c r="B304" s="340">
        <f t="shared" si="65"/>
        <v>55001</v>
      </c>
      <c r="C304" s="336">
        <f t="shared" ca="1" si="62"/>
        <v>0</v>
      </c>
      <c r="D304" s="335"/>
      <c r="E304" s="336">
        <f t="shared" si="67"/>
        <v>0</v>
      </c>
      <c r="F304" s="336">
        <f t="shared" ca="1" si="59"/>
        <v>0</v>
      </c>
      <c r="G304" s="336">
        <f t="shared" ca="1" si="63"/>
        <v>0</v>
      </c>
      <c r="H304" s="336">
        <f t="shared" ca="1" si="64"/>
        <v>0</v>
      </c>
      <c r="I304" s="337">
        <f t="shared" ca="1" si="60"/>
        <v>0</v>
      </c>
    </row>
    <row r="305" spans="1:9">
      <c r="A305" s="335">
        <f t="shared" si="61"/>
        <v>288</v>
      </c>
      <c r="B305" s="340">
        <f t="shared" si="65"/>
        <v>55032</v>
      </c>
      <c r="C305" s="336">
        <f t="shared" ca="1" si="62"/>
        <v>0</v>
      </c>
      <c r="D305" s="336">
        <f ca="1">IF(H305&lt;0,0,0.5*(K41-L41))</f>
        <v>1120837</v>
      </c>
      <c r="E305" s="336">
        <f t="shared" ca="1" si="67"/>
        <v>0</v>
      </c>
      <c r="F305" s="336">
        <f t="shared" ca="1" si="59"/>
        <v>0</v>
      </c>
      <c r="G305" s="336">
        <f t="shared" ca="1" si="63"/>
        <v>0</v>
      </c>
      <c r="H305" s="336">
        <f t="shared" ca="1" si="64"/>
        <v>0</v>
      </c>
      <c r="I305" s="337">
        <f t="shared" ca="1" si="60"/>
        <v>1120837</v>
      </c>
    </row>
    <row r="306" spans="1:9">
      <c r="A306" s="335">
        <f t="shared" si="61"/>
        <v>289</v>
      </c>
      <c r="B306" s="340">
        <f t="shared" si="65"/>
        <v>55062</v>
      </c>
      <c r="C306" s="336">
        <f t="shared" ca="1" si="62"/>
        <v>0</v>
      </c>
      <c r="D306" s="335"/>
      <c r="E306" s="336">
        <f t="shared" ref="E306:E317" si="68">IF($D$10=1,IF(OR(MONTH(B306)=MONTH(EDATE($D$7,0)),MONTH(B306)=MONTH(EDATE($D$7,6))),(MIN($D$305,H305)),0),IF($D$10=0,IF(OR(MONTH(B306)=MONTH(EDATE($D$7,5)),MONTH(B306)=MONTH(EDATE($D$7,11))),(MIN($D$305,H305)),0)))</f>
        <v>0</v>
      </c>
      <c r="F306" s="336">
        <f ca="1">IF(E306="","",E306-G306)</f>
        <v>0</v>
      </c>
      <c r="G306" s="336">
        <f t="shared" ca="1" si="63"/>
        <v>0</v>
      </c>
      <c r="H306" s="336">
        <f t="shared" ca="1" si="64"/>
        <v>0</v>
      </c>
      <c r="I306" s="337">
        <f t="shared" ca="1" si="60"/>
        <v>0</v>
      </c>
    </row>
    <row r="307" spans="1:9">
      <c r="A307" s="335">
        <f t="shared" si="61"/>
        <v>290</v>
      </c>
      <c r="B307" s="340">
        <f t="shared" si="65"/>
        <v>55093</v>
      </c>
      <c r="C307" s="336">
        <f t="shared" ca="1" si="62"/>
        <v>0</v>
      </c>
      <c r="D307" s="335"/>
      <c r="E307" s="336">
        <f t="shared" si="68"/>
        <v>0</v>
      </c>
      <c r="F307" s="336">
        <f t="shared" ca="1" si="59"/>
        <v>0</v>
      </c>
      <c r="G307" s="336">
        <f t="shared" ca="1" si="63"/>
        <v>0</v>
      </c>
      <c r="H307" s="336">
        <f t="shared" ca="1" si="64"/>
        <v>0</v>
      </c>
      <c r="I307" s="337">
        <f t="shared" ca="1" si="60"/>
        <v>0</v>
      </c>
    </row>
    <row r="308" spans="1:9">
      <c r="A308" s="335">
        <f t="shared" si="61"/>
        <v>291</v>
      </c>
      <c r="B308" s="340">
        <f t="shared" si="65"/>
        <v>55123</v>
      </c>
      <c r="C308" s="336">
        <f t="shared" ca="1" si="62"/>
        <v>0</v>
      </c>
      <c r="D308" s="335"/>
      <c r="E308" s="336">
        <f t="shared" si="68"/>
        <v>0</v>
      </c>
      <c r="F308" s="336">
        <f t="shared" ca="1" si="59"/>
        <v>0</v>
      </c>
      <c r="G308" s="336">
        <f t="shared" ca="1" si="63"/>
        <v>0</v>
      </c>
      <c r="H308" s="336">
        <f t="shared" ca="1" si="64"/>
        <v>0</v>
      </c>
      <c r="I308" s="337">
        <f t="shared" ca="1" si="60"/>
        <v>0</v>
      </c>
    </row>
    <row r="309" spans="1:9">
      <c r="A309" s="335">
        <f t="shared" si="61"/>
        <v>292</v>
      </c>
      <c r="B309" s="340">
        <f t="shared" si="65"/>
        <v>55154</v>
      </c>
      <c r="C309" s="336">
        <f t="shared" ca="1" si="62"/>
        <v>0</v>
      </c>
      <c r="D309" s="335"/>
      <c r="E309" s="336">
        <f t="shared" si="68"/>
        <v>0</v>
      </c>
      <c r="F309" s="336">
        <f t="shared" ca="1" si="59"/>
        <v>0</v>
      </c>
      <c r="G309" s="336">
        <f t="shared" ca="1" si="63"/>
        <v>0</v>
      </c>
      <c r="H309" s="336">
        <f t="shared" ca="1" si="64"/>
        <v>0</v>
      </c>
      <c r="I309" s="337">
        <f t="shared" ca="1" si="60"/>
        <v>0</v>
      </c>
    </row>
    <row r="310" spans="1:9">
      <c r="A310" s="335">
        <f t="shared" si="61"/>
        <v>293</v>
      </c>
      <c r="B310" s="340">
        <f t="shared" si="65"/>
        <v>55185</v>
      </c>
      <c r="C310" s="336">
        <f t="shared" ca="1" si="62"/>
        <v>0</v>
      </c>
      <c r="D310" s="335"/>
      <c r="E310" s="336">
        <f t="shared" si="68"/>
        <v>0</v>
      </c>
      <c r="F310" s="336">
        <f t="shared" ca="1" si="59"/>
        <v>0</v>
      </c>
      <c r="G310" s="336">
        <f t="shared" ca="1" si="63"/>
        <v>0</v>
      </c>
      <c r="H310" s="336">
        <f t="shared" ca="1" si="64"/>
        <v>0</v>
      </c>
      <c r="I310" s="337">
        <f t="shared" ca="1" si="60"/>
        <v>0</v>
      </c>
    </row>
    <row r="311" spans="1:9">
      <c r="A311" s="335">
        <f t="shared" si="61"/>
        <v>294</v>
      </c>
      <c r="B311" s="340">
        <f t="shared" si="65"/>
        <v>55213</v>
      </c>
      <c r="C311" s="336">
        <f t="shared" ca="1" si="62"/>
        <v>0</v>
      </c>
      <c r="D311" s="335"/>
      <c r="E311" s="336">
        <f t="shared" ca="1" si="68"/>
        <v>0</v>
      </c>
      <c r="F311" s="336">
        <f t="shared" ca="1" si="59"/>
        <v>0</v>
      </c>
      <c r="G311" s="336">
        <f t="shared" ca="1" si="63"/>
        <v>0</v>
      </c>
      <c r="H311" s="336">
        <f t="shared" ca="1" si="64"/>
        <v>0</v>
      </c>
      <c r="I311" s="337">
        <f t="shared" ca="1" si="60"/>
        <v>0</v>
      </c>
    </row>
    <row r="312" spans="1:9">
      <c r="A312" s="335">
        <f t="shared" si="61"/>
        <v>295</v>
      </c>
      <c r="B312" s="340">
        <f t="shared" si="65"/>
        <v>55244</v>
      </c>
      <c r="C312" s="336">
        <f t="shared" ca="1" si="62"/>
        <v>0</v>
      </c>
      <c r="D312" s="335"/>
      <c r="E312" s="336">
        <f t="shared" si="68"/>
        <v>0</v>
      </c>
      <c r="F312" s="336">
        <f t="shared" ca="1" si="59"/>
        <v>0</v>
      </c>
      <c r="G312" s="336">
        <f t="shared" ca="1" si="63"/>
        <v>0</v>
      </c>
      <c r="H312" s="336">
        <f t="shared" ca="1" si="64"/>
        <v>0</v>
      </c>
      <c r="I312" s="337">
        <f t="shared" ca="1" si="60"/>
        <v>0</v>
      </c>
    </row>
    <row r="313" spans="1:9">
      <c r="A313" s="335">
        <f t="shared" si="61"/>
        <v>296</v>
      </c>
      <c r="B313" s="340">
        <f t="shared" si="65"/>
        <v>55274</v>
      </c>
      <c r="C313" s="336">
        <f t="shared" ca="1" si="62"/>
        <v>0</v>
      </c>
      <c r="D313" s="335"/>
      <c r="E313" s="336">
        <f t="shared" si="68"/>
        <v>0</v>
      </c>
      <c r="F313" s="336">
        <f t="shared" ca="1" si="59"/>
        <v>0</v>
      </c>
      <c r="G313" s="336">
        <f t="shared" ca="1" si="63"/>
        <v>0</v>
      </c>
      <c r="H313" s="336">
        <f t="shared" ca="1" si="64"/>
        <v>0</v>
      </c>
      <c r="I313" s="337">
        <f t="shared" ca="1" si="60"/>
        <v>0</v>
      </c>
    </row>
    <row r="314" spans="1:9">
      <c r="A314" s="335">
        <f t="shared" si="61"/>
        <v>297</v>
      </c>
      <c r="B314" s="340">
        <f t="shared" si="65"/>
        <v>55305</v>
      </c>
      <c r="C314" s="336">
        <f t="shared" ca="1" si="62"/>
        <v>0</v>
      </c>
      <c r="D314" s="335"/>
      <c r="E314" s="336">
        <f t="shared" si="68"/>
        <v>0</v>
      </c>
      <c r="F314" s="336">
        <f t="shared" ca="1" si="59"/>
        <v>0</v>
      </c>
      <c r="G314" s="336">
        <f t="shared" ca="1" si="63"/>
        <v>0</v>
      </c>
      <c r="H314" s="336">
        <f t="shared" ca="1" si="64"/>
        <v>0</v>
      </c>
      <c r="I314" s="337">
        <f t="shared" ca="1" si="60"/>
        <v>0</v>
      </c>
    </row>
    <row r="315" spans="1:9">
      <c r="A315" s="335">
        <f t="shared" si="61"/>
        <v>298</v>
      </c>
      <c r="B315" s="340">
        <f t="shared" si="65"/>
        <v>55335</v>
      </c>
      <c r="C315" s="336">
        <f t="shared" ca="1" si="62"/>
        <v>0</v>
      </c>
      <c r="D315" s="335"/>
      <c r="E315" s="336">
        <f t="shared" si="68"/>
        <v>0</v>
      </c>
      <c r="F315" s="336">
        <f t="shared" ca="1" si="59"/>
        <v>0</v>
      </c>
      <c r="G315" s="336">
        <f t="shared" ca="1" si="63"/>
        <v>0</v>
      </c>
      <c r="H315" s="336">
        <f t="shared" ca="1" si="64"/>
        <v>0</v>
      </c>
      <c r="I315" s="337">
        <f t="shared" ca="1" si="60"/>
        <v>0</v>
      </c>
    </row>
    <row r="316" spans="1:9">
      <c r="A316" s="335">
        <f t="shared" si="61"/>
        <v>299</v>
      </c>
      <c r="B316" s="340">
        <f t="shared" si="65"/>
        <v>55366</v>
      </c>
      <c r="C316" s="336">
        <f t="shared" ca="1" si="62"/>
        <v>0</v>
      </c>
      <c r="D316" s="335"/>
      <c r="E316" s="336">
        <f t="shared" si="68"/>
        <v>0</v>
      </c>
      <c r="F316" s="336">
        <f t="shared" ca="1" si="59"/>
        <v>0</v>
      </c>
      <c r="G316" s="336">
        <f t="shared" ca="1" si="63"/>
        <v>0</v>
      </c>
      <c r="H316" s="336">
        <f t="shared" ca="1" si="64"/>
        <v>0</v>
      </c>
      <c r="I316" s="337">
        <f t="shared" ca="1" si="60"/>
        <v>0</v>
      </c>
    </row>
    <row r="317" spans="1:9">
      <c r="A317" s="335">
        <f t="shared" si="61"/>
        <v>300</v>
      </c>
      <c r="B317" s="340">
        <f t="shared" si="65"/>
        <v>55397</v>
      </c>
      <c r="C317" s="336">
        <f t="shared" ca="1" si="62"/>
        <v>0</v>
      </c>
      <c r="D317" s="335"/>
      <c r="E317" s="336">
        <f t="shared" ca="1" si="68"/>
        <v>0</v>
      </c>
      <c r="F317" s="336">
        <f t="shared" ca="1" si="59"/>
        <v>0</v>
      </c>
      <c r="G317" s="336">
        <f t="shared" ca="1" si="63"/>
        <v>0</v>
      </c>
      <c r="H317" s="336">
        <f t="shared" ca="1" si="64"/>
        <v>0</v>
      </c>
      <c r="I317" s="337">
        <f t="shared" ca="1" si="60"/>
        <v>0</v>
      </c>
    </row>
    <row r="318" spans="1:9">
      <c r="A318" s="335">
        <f t="shared" si="61"/>
        <v>301</v>
      </c>
      <c r="B318" s="340">
        <f t="shared" si="65"/>
        <v>55427</v>
      </c>
      <c r="C318" s="336">
        <f t="shared" ref="C318:C381" ca="1" si="69">IF(H317=0,0,H317)</f>
        <v>0</v>
      </c>
      <c r="D318" s="335"/>
      <c r="E318" s="336">
        <f t="shared" ref="E318:E381" si="70">IF($D$10=1,IF(OR(MONTH(B318)=MONTH(EDATE($D$7,0)),MONTH(B318)=MONTH(EDATE($D$7,6))),(MIN($D$305,H317)),0),IF($D$10=0,IF(OR(MONTH(B318)=MONTH(EDATE($D$7,5)),MONTH(B318)=MONTH(EDATE($D$7,11))),(MIN($D$305,H317)),0)))</f>
        <v>0</v>
      </c>
      <c r="F318" s="336">
        <f t="shared" ref="F318:F381" ca="1" si="71">IF(E318="","",E318-G318)</f>
        <v>0</v>
      </c>
      <c r="G318" s="336">
        <f t="shared" ref="G318:G381" ca="1" si="72">ROUND((C318-E318)*$D$5,3)</f>
        <v>0</v>
      </c>
      <c r="H318" s="336">
        <f t="shared" ref="H318:H381" ca="1" si="73">IF(E318="","",ROUND(H317-F318,4))</f>
        <v>0</v>
      </c>
      <c r="I318" s="337">
        <f t="shared" ref="I318:I381" ca="1" si="74">ROUND((D318-H318),0)</f>
        <v>0</v>
      </c>
    </row>
    <row r="319" spans="1:9">
      <c r="A319" s="335">
        <f t="shared" si="61"/>
        <v>302</v>
      </c>
      <c r="B319" s="340">
        <f t="shared" si="65"/>
        <v>55458</v>
      </c>
      <c r="C319" s="336">
        <f t="shared" ca="1" si="69"/>
        <v>0</v>
      </c>
      <c r="D319" s="335"/>
      <c r="E319" s="336">
        <f t="shared" si="70"/>
        <v>0</v>
      </c>
      <c r="F319" s="336">
        <f t="shared" ca="1" si="71"/>
        <v>0</v>
      </c>
      <c r="G319" s="336">
        <f t="shared" ca="1" si="72"/>
        <v>0</v>
      </c>
      <c r="H319" s="336">
        <f t="shared" ca="1" si="73"/>
        <v>0</v>
      </c>
      <c r="I319" s="337">
        <f t="shared" ca="1" si="74"/>
        <v>0</v>
      </c>
    </row>
    <row r="320" spans="1:9">
      <c r="A320" s="335">
        <f t="shared" si="61"/>
        <v>303</v>
      </c>
      <c r="B320" s="340">
        <f t="shared" si="65"/>
        <v>55488</v>
      </c>
      <c r="C320" s="336">
        <f t="shared" ca="1" si="69"/>
        <v>0</v>
      </c>
      <c r="D320" s="335"/>
      <c r="E320" s="336">
        <f t="shared" si="70"/>
        <v>0</v>
      </c>
      <c r="F320" s="336">
        <f t="shared" ca="1" si="71"/>
        <v>0</v>
      </c>
      <c r="G320" s="336">
        <f t="shared" ca="1" si="72"/>
        <v>0</v>
      </c>
      <c r="H320" s="336">
        <f t="shared" ca="1" si="73"/>
        <v>0</v>
      </c>
      <c r="I320" s="337">
        <f t="shared" ca="1" si="74"/>
        <v>0</v>
      </c>
    </row>
    <row r="321" spans="1:9">
      <c r="A321" s="335">
        <f t="shared" si="61"/>
        <v>304</v>
      </c>
      <c r="B321" s="340">
        <f t="shared" si="65"/>
        <v>55519</v>
      </c>
      <c r="C321" s="336">
        <f t="shared" ca="1" si="69"/>
        <v>0</v>
      </c>
      <c r="D321" s="335"/>
      <c r="E321" s="336">
        <f t="shared" si="70"/>
        <v>0</v>
      </c>
      <c r="F321" s="336">
        <f t="shared" ca="1" si="71"/>
        <v>0</v>
      </c>
      <c r="G321" s="336">
        <f t="shared" ca="1" si="72"/>
        <v>0</v>
      </c>
      <c r="H321" s="336">
        <f t="shared" ca="1" si="73"/>
        <v>0</v>
      </c>
      <c r="I321" s="337">
        <f t="shared" ca="1" si="74"/>
        <v>0</v>
      </c>
    </row>
    <row r="322" spans="1:9">
      <c r="A322" s="335">
        <f t="shared" si="61"/>
        <v>305</v>
      </c>
      <c r="B322" s="340">
        <f t="shared" si="65"/>
        <v>55550</v>
      </c>
      <c r="C322" s="336">
        <f t="shared" ca="1" si="69"/>
        <v>0</v>
      </c>
      <c r="D322" s="335"/>
      <c r="E322" s="336">
        <f t="shared" si="70"/>
        <v>0</v>
      </c>
      <c r="F322" s="336">
        <f t="shared" ca="1" si="71"/>
        <v>0</v>
      </c>
      <c r="G322" s="336">
        <f t="shared" ca="1" si="72"/>
        <v>0</v>
      </c>
      <c r="H322" s="336">
        <f t="shared" ca="1" si="73"/>
        <v>0</v>
      </c>
      <c r="I322" s="337">
        <f t="shared" ca="1" si="74"/>
        <v>0</v>
      </c>
    </row>
    <row r="323" spans="1:9">
      <c r="A323" s="335">
        <f t="shared" si="61"/>
        <v>306</v>
      </c>
      <c r="B323" s="340">
        <f t="shared" si="65"/>
        <v>55579</v>
      </c>
      <c r="C323" s="336">
        <f t="shared" ca="1" si="69"/>
        <v>0</v>
      </c>
      <c r="D323" s="335"/>
      <c r="E323" s="336">
        <f t="shared" ca="1" si="70"/>
        <v>0</v>
      </c>
      <c r="F323" s="336">
        <f t="shared" ca="1" si="71"/>
        <v>0</v>
      </c>
      <c r="G323" s="336">
        <f t="shared" ca="1" si="72"/>
        <v>0</v>
      </c>
      <c r="H323" s="336">
        <f t="shared" ca="1" si="73"/>
        <v>0</v>
      </c>
      <c r="I323" s="337">
        <f t="shared" ca="1" si="74"/>
        <v>0</v>
      </c>
    </row>
    <row r="324" spans="1:9">
      <c r="A324" s="335">
        <f t="shared" si="61"/>
        <v>307</v>
      </c>
      <c r="B324" s="340">
        <f t="shared" si="65"/>
        <v>55610</v>
      </c>
      <c r="C324" s="336">
        <f t="shared" ca="1" si="69"/>
        <v>0</v>
      </c>
      <c r="D324" s="335"/>
      <c r="E324" s="336">
        <f t="shared" si="70"/>
        <v>0</v>
      </c>
      <c r="F324" s="336">
        <f t="shared" ca="1" si="71"/>
        <v>0</v>
      </c>
      <c r="G324" s="336">
        <f t="shared" ca="1" si="72"/>
        <v>0</v>
      </c>
      <c r="H324" s="336">
        <f t="shared" ca="1" si="73"/>
        <v>0</v>
      </c>
      <c r="I324" s="337">
        <f t="shared" ca="1" si="74"/>
        <v>0</v>
      </c>
    </row>
    <row r="325" spans="1:9">
      <c r="A325" s="335">
        <f t="shared" si="61"/>
        <v>308</v>
      </c>
      <c r="B325" s="340">
        <f t="shared" si="65"/>
        <v>55640</v>
      </c>
      <c r="C325" s="336">
        <f t="shared" ca="1" si="69"/>
        <v>0</v>
      </c>
      <c r="D325" s="335"/>
      <c r="E325" s="336">
        <f t="shared" si="70"/>
        <v>0</v>
      </c>
      <c r="F325" s="336">
        <f t="shared" ca="1" si="71"/>
        <v>0</v>
      </c>
      <c r="G325" s="336">
        <f t="shared" ca="1" si="72"/>
        <v>0</v>
      </c>
      <c r="H325" s="336">
        <f t="shared" ca="1" si="73"/>
        <v>0</v>
      </c>
      <c r="I325" s="337">
        <f t="shared" ca="1" si="74"/>
        <v>0</v>
      </c>
    </row>
    <row r="326" spans="1:9">
      <c r="A326" s="335">
        <f t="shared" si="61"/>
        <v>309</v>
      </c>
      <c r="B326" s="340">
        <f t="shared" si="65"/>
        <v>55671</v>
      </c>
      <c r="C326" s="336">
        <f t="shared" ca="1" si="69"/>
        <v>0</v>
      </c>
      <c r="D326" s="335"/>
      <c r="E326" s="336">
        <f t="shared" si="70"/>
        <v>0</v>
      </c>
      <c r="F326" s="336">
        <f t="shared" ca="1" si="71"/>
        <v>0</v>
      </c>
      <c r="G326" s="336">
        <f t="shared" ca="1" si="72"/>
        <v>0</v>
      </c>
      <c r="H326" s="336">
        <f t="shared" ca="1" si="73"/>
        <v>0</v>
      </c>
      <c r="I326" s="337">
        <f t="shared" ca="1" si="74"/>
        <v>0</v>
      </c>
    </row>
    <row r="327" spans="1:9">
      <c r="A327" s="335">
        <f t="shared" si="61"/>
        <v>310</v>
      </c>
      <c r="B327" s="340">
        <f t="shared" si="65"/>
        <v>55701</v>
      </c>
      <c r="C327" s="336">
        <f t="shared" ca="1" si="69"/>
        <v>0</v>
      </c>
      <c r="D327" s="335"/>
      <c r="E327" s="336">
        <f t="shared" si="70"/>
        <v>0</v>
      </c>
      <c r="F327" s="336">
        <f t="shared" ca="1" si="71"/>
        <v>0</v>
      </c>
      <c r="G327" s="336">
        <f t="shared" ca="1" si="72"/>
        <v>0</v>
      </c>
      <c r="H327" s="336">
        <f t="shared" ca="1" si="73"/>
        <v>0</v>
      </c>
      <c r="I327" s="337">
        <f t="shared" ca="1" si="74"/>
        <v>0</v>
      </c>
    </row>
    <row r="328" spans="1:9">
      <c r="A328" s="335">
        <f t="shared" si="61"/>
        <v>311</v>
      </c>
      <c r="B328" s="340">
        <f t="shared" si="65"/>
        <v>55732</v>
      </c>
      <c r="C328" s="336">
        <f t="shared" ca="1" si="69"/>
        <v>0</v>
      </c>
      <c r="D328" s="335"/>
      <c r="E328" s="336">
        <f t="shared" si="70"/>
        <v>0</v>
      </c>
      <c r="F328" s="336">
        <f t="shared" ca="1" si="71"/>
        <v>0</v>
      </c>
      <c r="G328" s="336">
        <f t="shared" ca="1" si="72"/>
        <v>0</v>
      </c>
      <c r="H328" s="336">
        <f t="shared" ca="1" si="73"/>
        <v>0</v>
      </c>
      <c r="I328" s="337">
        <f t="shared" ca="1" si="74"/>
        <v>0</v>
      </c>
    </row>
    <row r="329" spans="1:9">
      <c r="A329" s="335">
        <f t="shared" si="61"/>
        <v>312</v>
      </c>
      <c r="B329" s="340">
        <f t="shared" si="65"/>
        <v>55763</v>
      </c>
      <c r="C329" s="336">
        <f t="shared" ca="1" si="69"/>
        <v>0</v>
      </c>
      <c r="D329" s="335"/>
      <c r="E329" s="336">
        <f t="shared" ca="1" si="70"/>
        <v>0</v>
      </c>
      <c r="F329" s="336">
        <f t="shared" ca="1" si="71"/>
        <v>0</v>
      </c>
      <c r="G329" s="336">
        <f t="shared" ca="1" si="72"/>
        <v>0</v>
      </c>
      <c r="H329" s="336">
        <f t="shared" ca="1" si="73"/>
        <v>0</v>
      </c>
      <c r="I329" s="337">
        <f t="shared" ca="1" si="74"/>
        <v>0</v>
      </c>
    </row>
    <row r="330" spans="1:9">
      <c r="A330" s="335">
        <f t="shared" si="61"/>
        <v>313</v>
      </c>
      <c r="B330" s="340">
        <f t="shared" si="65"/>
        <v>55793</v>
      </c>
      <c r="C330" s="336">
        <f t="shared" ca="1" si="69"/>
        <v>0</v>
      </c>
      <c r="D330" s="335"/>
      <c r="E330" s="336">
        <f t="shared" si="70"/>
        <v>0</v>
      </c>
      <c r="F330" s="336">
        <f t="shared" ca="1" si="71"/>
        <v>0</v>
      </c>
      <c r="G330" s="336">
        <f t="shared" ca="1" si="72"/>
        <v>0</v>
      </c>
      <c r="H330" s="336">
        <f t="shared" ca="1" si="73"/>
        <v>0</v>
      </c>
      <c r="I330" s="337">
        <f t="shared" ca="1" si="74"/>
        <v>0</v>
      </c>
    </row>
    <row r="331" spans="1:9">
      <c r="A331" s="335">
        <f t="shared" si="61"/>
        <v>314</v>
      </c>
      <c r="B331" s="340">
        <f t="shared" si="65"/>
        <v>55824</v>
      </c>
      <c r="C331" s="336">
        <f t="shared" ca="1" si="69"/>
        <v>0</v>
      </c>
      <c r="D331" s="335"/>
      <c r="E331" s="336">
        <f t="shared" si="70"/>
        <v>0</v>
      </c>
      <c r="F331" s="336">
        <f t="shared" ca="1" si="71"/>
        <v>0</v>
      </c>
      <c r="G331" s="336">
        <f t="shared" ca="1" si="72"/>
        <v>0</v>
      </c>
      <c r="H331" s="336">
        <f t="shared" ca="1" si="73"/>
        <v>0</v>
      </c>
      <c r="I331" s="337">
        <f t="shared" ca="1" si="74"/>
        <v>0</v>
      </c>
    </row>
    <row r="332" spans="1:9">
      <c r="A332" s="335">
        <f t="shared" si="61"/>
        <v>315</v>
      </c>
      <c r="B332" s="340">
        <f t="shared" si="65"/>
        <v>55854</v>
      </c>
      <c r="C332" s="336">
        <f t="shared" ca="1" si="69"/>
        <v>0</v>
      </c>
      <c r="D332" s="335"/>
      <c r="E332" s="336">
        <f t="shared" si="70"/>
        <v>0</v>
      </c>
      <c r="F332" s="336">
        <f t="shared" ca="1" si="71"/>
        <v>0</v>
      </c>
      <c r="G332" s="336">
        <f t="shared" ca="1" si="72"/>
        <v>0</v>
      </c>
      <c r="H332" s="336">
        <f t="shared" ca="1" si="73"/>
        <v>0</v>
      </c>
      <c r="I332" s="337">
        <f t="shared" ca="1" si="74"/>
        <v>0</v>
      </c>
    </row>
    <row r="333" spans="1:9">
      <c r="A333" s="335">
        <f t="shared" si="61"/>
        <v>316</v>
      </c>
      <c r="B333" s="340">
        <f t="shared" si="65"/>
        <v>55885</v>
      </c>
      <c r="C333" s="336">
        <f t="shared" ca="1" si="69"/>
        <v>0</v>
      </c>
      <c r="D333" s="335"/>
      <c r="E333" s="336">
        <f t="shared" si="70"/>
        <v>0</v>
      </c>
      <c r="F333" s="336">
        <f t="shared" ca="1" si="71"/>
        <v>0</v>
      </c>
      <c r="G333" s="336">
        <f t="shared" ca="1" si="72"/>
        <v>0</v>
      </c>
      <c r="H333" s="336">
        <f t="shared" ca="1" si="73"/>
        <v>0</v>
      </c>
      <c r="I333" s="337">
        <f t="shared" ca="1" si="74"/>
        <v>0</v>
      </c>
    </row>
    <row r="334" spans="1:9">
      <c r="A334" s="335">
        <f t="shared" si="61"/>
        <v>317</v>
      </c>
      <c r="B334" s="340">
        <f t="shared" si="65"/>
        <v>55916</v>
      </c>
      <c r="C334" s="336">
        <f t="shared" ca="1" si="69"/>
        <v>0</v>
      </c>
      <c r="D334" s="335"/>
      <c r="E334" s="336">
        <f t="shared" si="70"/>
        <v>0</v>
      </c>
      <c r="F334" s="336">
        <f t="shared" ca="1" si="71"/>
        <v>0</v>
      </c>
      <c r="G334" s="336">
        <f t="shared" ca="1" si="72"/>
        <v>0</v>
      </c>
      <c r="H334" s="336">
        <f t="shared" ca="1" si="73"/>
        <v>0</v>
      </c>
      <c r="I334" s="337">
        <f t="shared" ca="1" si="74"/>
        <v>0</v>
      </c>
    </row>
    <row r="335" spans="1:9">
      <c r="A335" s="335">
        <f t="shared" si="61"/>
        <v>318</v>
      </c>
      <c r="B335" s="340">
        <f t="shared" si="65"/>
        <v>55944</v>
      </c>
      <c r="C335" s="336">
        <f t="shared" ca="1" si="69"/>
        <v>0</v>
      </c>
      <c r="D335" s="335"/>
      <c r="E335" s="336">
        <f t="shared" ca="1" si="70"/>
        <v>0</v>
      </c>
      <c r="F335" s="336">
        <f t="shared" ca="1" si="71"/>
        <v>0</v>
      </c>
      <c r="G335" s="336">
        <f t="shared" ca="1" si="72"/>
        <v>0</v>
      </c>
      <c r="H335" s="336">
        <f t="shared" ca="1" si="73"/>
        <v>0</v>
      </c>
      <c r="I335" s="337">
        <f t="shared" ca="1" si="74"/>
        <v>0</v>
      </c>
    </row>
    <row r="336" spans="1:9">
      <c r="A336" s="335">
        <f t="shared" si="61"/>
        <v>319</v>
      </c>
      <c r="B336" s="340">
        <f t="shared" si="65"/>
        <v>55975</v>
      </c>
      <c r="C336" s="336">
        <f t="shared" ca="1" si="69"/>
        <v>0</v>
      </c>
      <c r="D336" s="335"/>
      <c r="E336" s="336">
        <f t="shared" si="70"/>
        <v>0</v>
      </c>
      <c r="F336" s="336">
        <f t="shared" ca="1" si="71"/>
        <v>0</v>
      </c>
      <c r="G336" s="336">
        <f t="shared" ca="1" si="72"/>
        <v>0</v>
      </c>
      <c r="H336" s="336">
        <f t="shared" ca="1" si="73"/>
        <v>0</v>
      </c>
      <c r="I336" s="337">
        <f t="shared" ca="1" si="74"/>
        <v>0</v>
      </c>
    </row>
    <row r="337" spans="1:9">
      <c r="A337" s="335">
        <f t="shared" si="61"/>
        <v>320</v>
      </c>
      <c r="B337" s="340">
        <f t="shared" si="65"/>
        <v>56005</v>
      </c>
      <c r="C337" s="336">
        <f t="shared" ca="1" si="69"/>
        <v>0</v>
      </c>
      <c r="D337" s="335"/>
      <c r="E337" s="336">
        <f t="shared" si="70"/>
        <v>0</v>
      </c>
      <c r="F337" s="336">
        <f t="shared" ca="1" si="71"/>
        <v>0</v>
      </c>
      <c r="G337" s="336">
        <f t="shared" ca="1" si="72"/>
        <v>0</v>
      </c>
      <c r="H337" s="336">
        <f t="shared" ca="1" si="73"/>
        <v>0</v>
      </c>
      <c r="I337" s="337">
        <f t="shared" ca="1" si="74"/>
        <v>0</v>
      </c>
    </row>
    <row r="338" spans="1:9">
      <c r="A338" s="335">
        <f t="shared" si="61"/>
        <v>321</v>
      </c>
      <c r="B338" s="340">
        <f t="shared" si="65"/>
        <v>56036</v>
      </c>
      <c r="C338" s="336">
        <f t="shared" ca="1" si="69"/>
        <v>0</v>
      </c>
      <c r="D338" s="335"/>
      <c r="E338" s="336">
        <f t="shared" si="70"/>
        <v>0</v>
      </c>
      <c r="F338" s="336">
        <f t="shared" ca="1" si="71"/>
        <v>0</v>
      </c>
      <c r="G338" s="336">
        <f t="shared" ca="1" si="72"/>
        <v>0</v>
      </c>
      <c r="H338" s="336">
        <f t="shared" ca="1" si="73"/>
        <v>0</v>
      </c>
      <c r="I338" s="337">
        <f t="shared" ca="1" si="74"/>
        <v>0</v>
      </c>
    </row>
    <row r="339" spans="1:9">
      <c r="A339" s="335">
        <f t="shared" ref="A339:A402" si="75">IF(A338="","",IF(A338=$D$6,"",A338+1))</f>
        <v>322</v>
      </c>
      <c r="B339" s="340">
        <f t="shared" si="65"/>
        <v>56066</v>
      </c>
      <c r="C339" s="336">
        <f t="shared" ca="1" si="69"/>
        <v>0</v>
      </c>
      <c r="D339" s="335"/>
      <c r="E339" s="336">
        <f t="shared" si="70"/>
        <v>0</v>
      </c>
      <c r="F339" s="336">
        <f t="shared" ca="1" si="71"/>
        <v>0</v>
      </c>
      <c r="G339" s="336">
        <f t="shared" ca="1" si="72"/>
        <v>0</v>
      </c>
      <c r="H339" s="336">
        <f t="shared" ca="1" si="73"/>
        <v>0</v>
      </c>
      <c r="I339" s="337">
        <f t="shared" ca="1" si="74"/>
        <v>0</v>
      </c>
    </row>
    <row r="340" spans="1:9">
      <c r="A340" s="335">
        <f t="shared" si="75"/>
        <v>323</v>
      </c>
      <c r="B340" s="340">
        <f t="shared" ref="B340:B403" si="76">DATE(YEAR(B339),MONTH(B339)+1,1)</f>
        <v>56097</v>
      </c>
      <c r="C340" s="336">
        <f t="shared" ca="1" si="69"/>
        <v>0</v>
      </c>
      <c r="D340" s="335"/>
      <c r="E340" s="336">
        <f t="shared" si="70"/>
        <v>0</v>
      </c>
      <c r="F340" s="336">
        <f t="shared" ca="1" si="71"/>
        <v>0</v>
      </c>
      <c r="G340" s="336">
        <f t="shared" ca="1" si="72"/>
        <v>0</v>
      </c>
      <c r="H340" s="336">
        <f t="shared" ca="1" si="73"/>
        <v>0</v>
      </c>
      <c r="I340" s="337">
        <f t="shared" ca="1" si="74"/>
        <v>0</v>
      </c>
    </row>
    <row r="341" spans="1:9">
      <c r="A341" s="335">
        <f t="shared" si="75"/>
        <v>324</v>
      </c>
      <c r="B341" s="340">
        <f t="shared" si="76"/>
        <v>56128</v>
      </c>
      <c r="C341" s="336">
        <f t="shared" ca="1" si="69"/>
        <v>0</v>
      </c>
      <c r="D341" s="335"/>
      <c r="E341" s="336">
        <f t="shared" ca="1" si="70"/>
        <v>0</v>
      </c>
      <c r="F341" s="336">
        <f t="shared" ca="1" si="71"/>
        <v>0</v>
      </c>
      <c r="G341" s="336">
        <f t="shared" ca="1" si="72"/>
        <v>0</v>
      </c>
      <c r="H341" s="336">
        <f t="shared" ca="1" si="73"/>
        <v>0</v>
      </c>
      <c r="I341" s="337">
        <f t="shared" ca="1" si="74"/>
        <v>0</v>
      </c>
    </row>
    <row r="342" spans="1:9">
      <c r="A342" s="335">
        <f t="shared" si="75"/>
        <v>325</v>
      </c>
      <c r="B342" s="340">
        <f t="shared" si="76"/>
        <v>56158</v>
      </c>
      <c r="C342" s="336">
        <f t="shared" ca="1" si="69"/>
        <v>0</v>
      </c>
      <c r="D342" s="335"/>
      <c r="E342" s="336">
        <f t="shared" si="70"/>
        <v>0</v>
      </c>
      <c r="F342" s="336">
        <f t="shared" ca="1" si="71"/>
        <v>0</v>
      </c>
      <c r="G342" s="336">
        <f t="shared" ca="1" si="72"/>
        <v>0</v>
      </c>
      <c r="H342" s="336">
        <f t="shared" ca="1" si="73"/>
        <v>0</v>
      </c>
      <c r="I342" s="337">
        <f t="shared" ca="1" si="74"/>
        <v>0</v>
      </c>
    </row>
    <row r="343" spans="1:9">
      <c r="A343" s="335">
        <f t="shared" si="75"/>
        <v>326</v>
      </c>
      <c r="B343" s="340">
        <f t="shared" si="76"/>
        <v>56189</v>
      </c>
      <c r="C343" s="336">
        <f t="shared" ca="1" si="69"/>
        <v>0</v>
      </c>
      <c r="D343" s="335"/>
      <c r="E343" s="336">
        <f t="shared" si="70"/>
        <v>0</v>
      </c>
      <c r="F343" s="336">
        <f t="shared" ca="1" si="71"/>
        <v>0</v>
      </c>
      <c r="G343" s="336">
        <f t="shared" ca="1" si="72"/>
        <v>0</v>
      </c>
      <c r="H343" s="336">
        <f t="shared" ca="1" si="73"/>
        <v>0</v>
      </c>
      <c r="I343" s="337">
        <f t="shared" ca="1" si="74"/>
        <v>0</v>
      </c>
    </row>
    <row r="344" spans="1:9">
      <c r="A344" s="335">
        <f t="shared" si="75"/>
        <v>327</v>
      </c>
      <c r="B344" s="340">
        <f t="shared" si="76"/>
        <v>56219</v>
      </c>
      <c r="C344" s="336">
        <f t="shared" ca="1" si="69"/>
        <v>0</v>
      </c>
      <c r="D344" s="335"/>
      <c r="E344" s="336">
        <f t="shared" si="70"/>
        <v>0</v>
      </c>
      <c r="F344" s="336">
        <f t="shared" ca="1" si="71"/>
        <v>0</v>
      </c>
      <c r="G344" s="336">
        <f t="shared" ca="1" si="72"/>
        <v>0</v>
      </c>
      <c r="H344" s="336">
        <f t="shared" ca="1" si="73"/>
        <v>0</v>
      </c>
      <c r="I344" s="337">
        <f t="shared" ca="1" si="74"/>
        <v>0</v>
      </c>
    </row>
    <row r="345" spans="1:9">
      <c r="A345" s="335">
        <f t="shared" si="75"/>
        <v>328</v>
      </c>
      <c r="B345" s="340">
        <f t="shared" si="76"/>
        <v>56250</v>
      </c>
      <c r="C345" s="336">
        <f t="shared" ca="1" si="69"/>
        <v>0</v>
      </c>
      <c r="D345" s="335"/>
      <c r="E345" s="336">
        <f t="shared" si="70"/>
        <v>0</v>
      </c>
      <c r="F345" s="336">
        <f t="shared" ca="1" si="71"/>
        <v>0</v>
      </c>
      <c r="G345" s="336">
        <f t="shared" ca="1" si="72"/>
        <v>0</v>
      </c>
      <c r="H345" s="336">
        <f t="shared" ca="1" si="73"/>
        <v>0</v>
      </c>
      <c r="I345" s="337">
        <f t="shared" ca="1" si="74"/>
        <v>0</v>
      </c>
    </row>
    <row r="346" spans="1:9">
      <c r="A346" s="335">
        <f t="shared" si="75"/>
        <v>329</v>
      </c>
      <c r="B346" s="340">
        <f t="shared" si="76"/>
        <v>56281</v>
      </c>
      <c r="C346" s="336">
        <f t="shared" ca="1" si="69"/>
        <v>0</v>
      </c>
      <c r="D346" s="335"/>
      <c r="E346" s="336">
        <f t="shared" si="70"/>
        <v>0</v>
      </c>
      <c r="F346" s="336">
        <f t="shared" ca="1" si="71"/>
        <v>0</v>
      </c>
      <c r="G346" s="336">
        <f t="shared" ca="1" si="72"/>
        <v>0</v>
      </c>
      <c r="H346" s="336">
        <f t="shared" ca="1" si="73"/>
        <v>0</v>
      </c>
      <c r="I346" s="337">
        <f t="shared" ca="1" si="74"/>
        <v>0</v>
      </c>
    </row>
    <row r="347" spans="1:9">
      <c r="A347" s="335">
        <f t="shared" si="75"/>
        <v>330</v>
      </c>
      <c r="B347" s="340">
        <f t="shared" si="76"/>
        <v>56309</v>
      </c>
      <c r="C347" s="336">
        <f t="shared" ca="1" si="69"/>
        <v>0</v>
      </c>
      <c r="D347" s="335"/>
      <c r="E347" s="336">
        <f t="shared" ca="1" si="70"/>
        <v>0</v>
      </c>
      <c r="F347" s="336">
        <f t="shared" ca="1" si="71"/>
        <v>0</v>
      </c>
      <c r="G347" s="336">
        <f t="shared" ca="1" si="72"/>
        <v>0</v>
      </c>
      <c r="H347" s="336">
        <f t="shared" ca="1" si="73"/>
        <v>0</v>
      </c>
      <c r="I347" s="337">
        <f t="shared" ca="1" si="74"/>
        <v>0</v>
      </c>
    </row>
    <row r="348" spans="1:9">
      <c r="A348" s="335">
        <f t="shared" si="75"/>
        <v>331</v>
      </c>
      <c r="B348" s="340">
        <f t="shared" si="76"/>
        <v>56340</v>
      </c>
      <c r="C348" s="336">
        <f t="shared" ca="1" si="69"/>
        <v>0</v>
      </c>
      <c r="D348" s="335"/>
      <c r="E348" s="336">
        <f t="shared" si="70"/>
        <v>0</v>
      </c>
      <c r="F348" s="336">
        <f t="shared" ca="1" si="71"/>
        <v>0</v>
      </c>
      <c r="G348" s="336">
        <f t="shared" ca="1" si="72"/>
        <v>0</v>
      </c>
      <c r="H348" s="336">
        <f t="shared" ca="1" si="73"/>
        <v>0</v>
      </c>
      <c r="I348" s="337">
        <f t="shared" ca="1" si="74"/>
        <v>0</v>
      </c>
    </row>
    <row r="349" spans="1:9">
      <c r="A349" s="335">
        <f t="shared" si="75"/>
        <v>332</v>
      </c>
      <c r="B349" s="340">
        <f t="shared" si="76"/>
        <v>56370</v>
      </c>
      <c r="C349" s="336">
        <f t="shared" ca="1" si="69"/>
        <v>0</v>
      </c>
      <c r="D349" s="335"/>
      <c r="E349" s="336">
        <f t="shared" si="70"/>
        <v>0</v>
      </c>
      <c r="F349" s="336">
        <f t="shared" ca="1" si="71"/>
        <v>0</v>
      </c>
      <c r="G349" s="336">
        <f t="shared" ca="1" si="72"/>
        <v>0</v>
      </c>
      <c r="H349" s="336">
        <f t="shared" ca="1" si="73"/>
        <v>0</v>
      </c>
      <c r="I349" s="337">
        <f t="shared" ca="1" si="74"/>
        <v>0</v>
      </c>
    </row>
    <row r="350" spans="1:9">
      <c r="A350" s="335">
        <f t="shared" si="75"/>
        <v>333</v>
      </c>
      <c r="B350" s="340">
        <f t="shared" si="76"/>
        <v>56401</v>
      </c>
      <c r="C350" s="336">
        <f t="shared" ca="1" si="69"/>
        <v>0</v>
      </c>
      <c r="D350" s="335"/>
      <c r="E350" s="336">
        <f t="shared" si="70"/>
        <v>0</v>
      </c>
      <c r="F350" s="336">
        <f t="shared" ca="1" si="71"/>
        <v>0</v>
      </c>
      <c r="G350" s="336">
        <f t="shared" ca="1" si="72"/>
        <v>0</v>
      </c>
      <c r="H350" s="336">
        <f t="shared" ca="1" si="73"/>
        <v>0</v>
      </c>
      <c r="I350" s="337">
        <f t="shared" ca="1" si="74"/>
        <v>0</v>
      </c>
    </row>
    <row r="351" spans="1:9">
      <c r="A351" s="335">
        <f t="shared" si="75"/>
        <v>334</v>
      </c>
      <c r="B351" s="340">
        <f t="shared" si="76"/>
        <v>56431</v>
      </c>
      <c r="C351" s="336">
        <f t="shared" ca="1" si="69"/>
        <v>0</v>
      </c>
      <c r="D351" s="335"/>
      <c r="E351" s="336">
        <f t="shared" si="70"/>
        <v>0</v>
      </c>
      <c r="F351" s="336">
        <f t="shared" ca="1" si="71"/>
        <v>0</v>
      </c>
      <c r="G351" s="336">
        <f t="shared" ca="1" si="72"/>
        <v>0</v>
      </c>
      <c r="H351" s="336">
        <f t="shared" ca="1" si="73"/>
        <v>0</v>
      </c>
      <c r="I351" s="337">
        <f t="shared" ca="1" si="74"/>
        <v>0</v>
      </c>
    </row>
    <row r="352" spans="1:9">
      <c r="A352" s="335">
        <f t="shared" si="75"/>
        <v>335</v>
      </c>
      <c r="B352" s="340">
        <f t="shared" si="76"/>
        <v>56462</v>
      </c>
      <c r="C352" s="336">
        <f t="shared" ca="1" si="69"/>
        <v>0</v>
      </c>
      <c r="D352" s="335"/>
      <c r="E352" s="336">
        <f t="shared" si="70"/>
        <v>0</v>
      </c>
      <c r="F352" s="336">
        <f t="shared" ca="1" si="71"/>
        <v>0</v>
      </c>
      <c r="G352" s="336">
        <f t="shared" ca="1" si="72"/>
        <v>0</v>
      </c>
      <c r="H352" s="336">
        <f t="shared" ca="1" si="73"/>
        <v>0</v>
      </c>
      <c r="I352" s="337">
        <f t="shared" ca="1" si="74"/>
        <v>0</v>
      </c>
    </row>
    <row r="353" spans="1:9">
      <c r="A353" s="335">
        <f t="shared" si="75"/>
        <v>336</v>
      </c>
      <c r="B353" s="340">
        <f t="shared" si="76"/>
        <v>56493</v>
      </c>
      <c r="C353" s="336">
        <f t="shared" ca="1" si="69"/>
        <v>0</v>
      </c>
      <c r="D353" s="335"/>
      <c r="E353" s="336">
        <f t="shared" ca="1" si="70"/>
        <v>0</v>
      </c>
      <c r="F353" s="336">
        <f t="shared" ca="1" si="71"/>
        <v>0</v>
      </c>
      <c r="G353" s="336">
        <f t="shared" ca="1" si="72"/>
        <v>0</v>
      </c>
      <c r="H353" s="336">
        <f t="shared" ca="1" si="73"/>
        <v>0</v>
      </c>
      <c r="I353" s="337">
        <f t="shared" ca="1" si="74"/>
        <v>0</v>
      </c>
    </row>
    <row r="354" spans="1:9">
      <c r="A354" s="335">
        <f t="shared" si="75"/>
        <v>337</v>
      </c>
      <c r="B354" s="340">
        <f t="shared" si="76"/>
        <v>56523</v>
      </c>
      <c r="C354" s="336">
        <f t="shared" ca="1" si="69"/>
        <v>0</v>
      </c>
      <c r="D354" s="335"/>
      <c r="E354" s="336">
        <f t="shared" si="70"/>
        <v>0</v>
      </c>
      <c r="F354" s="336">
        <f t="shared" ca="1" si="71"/>
        <v>0</v>
      </c>
      <c r="G354" s="336">
        <f t="shared" ca="1" si="72"/>
        <v>0</v>
      </c>
      <c r="H354" s="336">
        <f t="shared" ca="1" si="73"/>
        <v>0</v>
      </c>
      <c r="I354" s="337">
        <f t="shared" ca="1" si="74"/>
        <v>0</v>
      </c>
    </row>
    <row r="355" spans="1:9">
      <c r="A355" s="335">
        <f t="shared" si="75"/>
        <v>338</v>
      </c>
      <c r="B355" s="340">
        <f t="shared" si="76"/>
        <v>56554</v>
      </c>
      <c r="C355" s="336">
        <f t="shared" ca="1" si="69"/>
        <v>0</v>
      </c>
      <c r="D355" s="335"/>
      <c r="E355" s="336">
        <f t="shared" si="70"/>
        <v>0</v>
      </c>
      <c r="F355" s="336">
        <f t="shared" ca="1" si="71"/>
        <v>0</v>
      </c>
      <c r="G355" s="336">
        <f t="shared" ca="1" si="72"/>
        <v>0</v>
      </c>
      <c r="H355" s="336">
        <f t="shared" ca="1" si="73"/>
        <v>0</v>
      </c>
      <c r="I355" s="337">
        <f t="shared" ca="1" si="74"/>
        <v>0</v>
      </c>
    </row>
    <row r="356" spans="1:9">
      <c r="A356" s="335">
        <f t="shared" si="75"/>
        <v>339</v>
      </c>
      <c r="B356" s="340">
        <f t="shared" si="76"/>
        <v>56584</v>
      </c>
      <c r="C356" s="336">
        <f t="shared" ca="1" si="69"/>
        <v>0</v>
      </c>
      <c r="D356" s="335"/>
      <c r="E356" s="336">
        <f t="shared" si="70"/>
        <v>0</v>
      </c>
      <c r="F356" s="336">
        <f t="shared" ca="1" si="71"/>
        <v>0</v>
      </c>
      <c r="G356" s="336">
        <f t="shared" ca="1" si="72"/>
        <v>0</v>
      </c>
      <c r="H356" s="336">
        <f t="shared" ca="1" si="73"/>
        <v>0</v>
      </c>
      <c r="I356" s="337">
        <f t="shared" ca="1" si="74"/>
        <v>0</v>
      </c>
    </row>
    <row r="357" spans="1:9">
      <c r="A357" s="335">
        <f t="shared" si="75"/>
        <v>340</v>
      </c>
      <c r="B357" s="340">
        <f t="shared" si="76"/>
        <v>56615</v>
      </c>
      <c r="C357" s="336">
        <f t="shared" ca="1" si="69"/>
        <v>0</v>
      </c>
      <c r="D357" s="335"/>
      <c r="E357" s="336">
        <f t="shared" si="70"/>
        <v>0</v>
      </c>
      <c r="F357" s="336">
        <f t="shared" ca="1" si="71"/>
        <v>0</v>
      </c>
      <c r="G357" s="336">
        <f t="shared" ca="1" si="72"/>
        <v>0</v>
      </c>
      <c r="H357" s="336">
        <f t="shared" ca="1" si="73"/>
        <v>0</v>
      </c>
      <c r="I357" s="337">
        <f t="shared" ca="1" si="74"/>
        <v>0</v>
      </c>
    </row>
    <row r="358" spans="1:9">
      <c r="A358" s="335">
        <f t="shared" si="75"/>
        <v>341</v>
      </c>
      <c r="B358" s="340">
        <f t="shared" si="76"/>
        <v>56646</v>
      </c>
      <c r="C358" s="336">
        <f t="shared" ca="1" si="69"/>
        <v>0</v>
      </c>
      <c r="D358" s="335"/>
      <c r="E358" s="336">
        <f t="shared" si="70"/>
        <v>0</v>
      </c>
      <c r="F358" s="336">
        <f t="shared" ca="1" si="71"/>
        <v>0</v>
      </c>
      <c r="G358" s="336">
        <f t="shared" ca="1" si="72"/>
        <v>0</v>
      </c>
      <c r="H358" s="336">
        <f t="shared" ca="1" si="73"/>
        <v>0</v>
      </c>
      <c r="I358" s="337">
        <f t="shared" ca="1" si="74"/>
        <v>0</v>
      </c>
    </row>
    <row r="359" spans="1:9">
      <c r="A359" s="335">
        <f t="shared" si="75"/>
        <v>342</v>
      </c>
      <c r="B359" s="340">
        <f t="shared" si="76"/>
        <v>56674</v>
      </c>
      <c r="C359" s="336">
        <f t="shared" ca="1" si="69"/>
        <v>0</v>
      </c>
      <c r="D359" s="335"/>
      <c r="E359" s="336">
        <f t="shared" ca="1" si="70"/>
        <v>0</v>
      </c>
      <c r="F359" s="336">
        <f t="shared" ca="1" si="71"/>
        <v>0</v>
      </c>
      <c r="G359" s="336">
        <f t="shared" ca="1" si="72"/>
        <v>0</v>
      </c>
      <c r="H359" s="336">
        <f t="shared" ca="1" si="73"/>
        <v>0</v>
      </c>
      <c r="I359" s="337">
        <f t="shared" ca="1" si="74"/>
        <v>0</v>
      </c>
    </row>
    <row r="360" spans="1:9">
      <c r="A360" s="335">
        <f t="shared" si="75"/>
        <v>343</v>
      </c>
      <c r="B360" s="340">
        <f t="shared" si="76"/>
        <v>56705</v>
      </c>
      <c r="C360" s="336">
        <f t="shared" ca="1" si="69"/>
        <v>0</v>
      </c>
      <c r="D360" s="335"/>
      <c r="E360" s="336">
        <f t="shared" si="70"/>
        <v>0</v>
      </c>
      <c r="F360" s="336">
        <f t="shared" ca="1" si="71"/>
        <v>0</v>
      </c>
      <c r="G360" s="336">
        <f t="shared" ca="1" si="72"/>
        <v>0</v>
      </c>
      <c r="H360" s="336">
        <f t="shared" ca="1" si="73"/>
        <v>0</v>
      </c>
      <c r="I360" s="337">
        <f t="shared" ca="1" si="74"/>
        <v>0</v>
      </c>
    </row>
    <row r="361" spans="1:9">
      <c r="A361" s="335">
        <f t="shared" si="75"/>
        <v>344</v>
      </c>
      <c r="B361" s="340">
        <f t="shared" si="76"/>
        <v>56735</v>
      </c>
      <c r="C361" s="336">
        <f t="shared" ca="1" si="69"/>
        <v>0</v>
      </c>
      <c r="D361" s="335"/>
      <c r="E361" s="336">
        <f t="shared" si="70"/>
        <v>0</v>
      </c>
      <c r="F361" s="336">
        <f t="shared" ca="1" si="71"/>
        <v>0</v>
      </c>
      <c r="G361" s="336">
        <f t="shared" ca="1" si="72"/>
        <v>0</v>
      </c>
      <c r="H361" s="336">
        <f t="shared" ca="1" si="73"/>
        <v>0</v>
      </c>
      <c r="I361" s="337">
        <f t="shared" ca="1" si="74"/>
        <v>0</v>
      </c>
    </row>
    <row r="362" spans="1:9">
      <c r="A362" s="335">
        <f t="shared" si="75"/>
        <v>345</v>
      </c>
      <c r="B362" s="340">
        <f t="shared" si="76"/>
        <v>56766</v>
      </c>
      <c r="C362" s="336">
        <f t="shared" ca="1" si="69"/>
        <v>0</v>
      </c>
      <c r="D362" s="335"/>
      <c r="E362" s="336">
        <f t="shared" si="70"/>
        <v>0</v>
      </c>
      <c r="F362" s="336">
        <f t="shared" ca="1" si="71"/>
        <v>0</v>
      </c>
      <c r="G362" s="336">
        <f t="shared" ca="1" si="72"/>
        <v>0</v>
      </c>
      <c r="H362" s="336">
        <f t="shared" ca="1" si="73"/>
        <v>0</v>
      </c>
      <c r="I362" s="337">
        <f t="shared" ca="1" si="74"/>
        <v>0</v>
      </c>
    </row>
    <row r="363" spans="1:9">
      <c r="A363" s="335">
        <f t="shared" si="75"/>
        <v>346</v>
      </c>
      <c r="B363" s="340">
        <f t="shared" si="76"/>
        <v>56796</v>
      </c>
      <c r="C363" s="336">
        <f t="shared" ca="1" si="69"/>
        <v>0</v>
      </c>
      <c r="D363" s="335"/>
      <c r="E363" s="336">
        <f t="shared" si="70"/>
        <v>0</v>
      </c>
      <c r="F363" s="336">
        <f t="shared" ca="1" si="71"/>
        <v>0</v>
      </c>
      <c r="G363" s="336">
        <f t="shared" ca="1" si="72"/>
        <v>0</v>
      </c>
      <c r="H363" s="336">
        <f t="shared" ca="1" si="73"/>
        <v>0</v>
      </c>
      <c r="I363" s="337">
        <f t="shared" ca="1" si="74"/>
        <v>0</v>
      </c>
    </row>
    <row r="364" spans="1:9">
      <c r="A364" s="335">
        <f t="shared" si="75"/>
        <v>347</v>
      </c>
      <c r="B364" s="340">
        <f t="shared" si="76"/>
        <v>56827</v>
      </c>
      <c r="C364" s="336">
        <f t="shared" ca="1" si="69"/>
        <v>0</v>
      </c>
      <c r="D364" s="335"/>
      <c r="E364" s="336">
        <f t="shared" si="70"/>
        <v>0</v>
      </c>
      <c r="F364" s="336">
        <f t="shared" ca="1" si="71"/>
        <v>0</v>
      </c>
      <c r="G364" s="336">
        <f t="shared" ca="1" si="72"/>
        <v>0</v>
      </c>
      <c r="H364" s="336">
        <f t="shared" ca="1" si="73"/>
        <v>0</v>
      </c>
      <c r="I364" s="337">
        <f t="shared" ca="1" si="74"/>
        <v>0</v>
      </c>
    </row>
    <row r="365" spans="1:9">
      <c r="A365" s="335">
        <f t="shared" si="75"/>
        <v>348</v>
      </c>
      <c r="B365" s="340">
        <f t="shared" si="76"/>
        <v>56858</v>
      </c>
      <c r="C365" s="336">
        <f t="shared" ca="1" si="69"/>
        <v>0</v>
      </c>
      <c r="D365" s="335"/>
      <c r="E365" s="336">
        <f t="shared" ca="1" si="70"/>
        <v>0</v>
      </c>
      <c r="F365" s="336">
        <f t="shared" ca="1" si="71"/>
        <v>0</v>
      </c>
      <c r="G365" s="336">
        <f t="shared" ca="1" si="72"/>
        <v>0</v>
      </c>
      <c r="H365" s="336">
        <f t="shared" ca="1" si="73"/>
        <v>0</v>
      </c>
      <c r="I365" s="337">
        <f t="shared" ca="1" si="74"/>
        <v>0</v>
      </c>
    </row>
    <row r="366" spans="1:9">
      <c r="A366" s="335">
        <f t="shared" si="75"/>
        <v>349</v>
      </c>
      <c r="B366" s="340">
        <f t="shared" si="76"/>
        <v>56888</v>
      </c>
      <c r="C366" s="336">
        <f t="shared" ca="1" si="69"/>
        <v>0</v>
      </c>
      <c r="D366" s="335"/>
      <c r="E366" s="336">
        <f t="shared" si="70"/>
        <v>0</v>
      </c>
      <c r="F366" s="336">
        <f t="shared" ca="1" si="71"/>
        <v>0</v>
      </c>
      <c r="G366" s="336">
        <f t="shared" ca="1" si="72"/>
        <v>0</v>
      </c>
      <c r="H366" s="336">
        <f t="shared" ca="1" si="73"/>
        <v>0</v>
      </c>
      <c r="I366" s="337">
        <f t="shared" ca="1" si="74"/>
        <v>0</v>
      </c>
    </row>
    <row r="367" spans="1:9">
      <c r="A367" s="335">
        <f t="shared" si="75"/>
        <v>350</v>
      </c>
      <c r="B367" s="340">
        <f t="shared" si="76"/>
        <v>56919</v>
      </c>
      <c r="C367" s="336">
        <f t="shared" ca="1" si="69"/>
        <v>0</v>
      </c>
      <c r="D367" s="335"/>
      <c r="E367" s="336">
        <f t="shared" si="70"/>
        <v>0</v>
      </c>
      <c r="F367" s="336">
        <f t="shared" ca="1" si="71"/>
        <v>0</v>
      </c>
      <c r="G367" s="336">
        <f t="shared" ca="1" si="72"/>
        <v>0</v>
      </c>
      <c r="H367" s="336">
        <f t="shared" ca="1" si="73"/>
        <v>0</v>
      </c>
      <c r="I367" s="337">
        <f t="shared" ca="1" si="74"/>
        <v>0</v>
      </c>
    </row>
    <row r="368" spans="1:9">
      <c r="A368" s="335">
        <f t="shared" si="75"/>
        <v>351</v>
      </c>
      <c r="B368" s="340">
        <f t="shared" si="76"/>
        <v>56949</v>
      </c>
      <c r="C368" s="336">
        <f t="shared" ca="1" si="69"/>
        <v>0</v>
      </c>
      <c r="D368" s="335"/>
      <c r="E368" s="336">
        <f t="shared" si="70"/>
        <v>0</v>
      </c>
      <c r="F368" s="336">
        <f t="shared" ca="1" si="71"/>
        <v>0</v>
      </c>
      <c r="G368" s="336">
        <f t="shared" ca="1" si="72"/>
        <v>0</v>
      </c>
      <c r="H368" s="336">
        <f t="shared" ca="1" si="73"/>
        <v>0</v>
      </c>
      <c r="I368" s="337">
        <f t="shared" ca="1" si="74"/>
        <v>0</v>
      </c>
    </row>
    <row r="369" spans="1:9">
      <c r="A369" s="335">
        <f t="shared" si="75"/>
        <v>352</v>
      </c>
      <c r="B369" s="340">
        <f t="shared" si="76"/>
        <v>56980</v>
      </c>
      <c r="C369" s="336">
        <f t="shared" ca="1" si="69"/>
        <v>0</v>
      </c>
      <c r="D369" s="335"/>
      <c r="E369" s="336">
        <f t="shared" si="70"/>
        <v>0</v>
      </c>
      <c r="F369" s="336">
        <f t="shared" ca="1" si="71"/>
        <v>0</v>
      </c>
      <c r="G369" s="336">
        <f t="shared" ca="1" si="72"/>
        <v>0</v>
      </c>
      <c r="H369" s="336">
        <f t="shared" ca="1" si="73"/>
        <v>0</v>
      </c>
      <c r="I369" s="337">
        <f t="shared" ca="1" si="74"/>
        <v>0</v>
      </c>
    </row>
    <row r="370" spans="1:9">
      <c r="A370" s="335">
        <f t="shared" si="75"/>
        <v>353</v>
      </c>
      <c r="B370" s="340">
        <f t="shared" si="76"/>
        <v>57011</v>
      </c>
      <c r="C370" s="336">
        <f t="shared" ca="1" si="69"/>
        <v>0</v>
      </c>
      <c r="D370" s="335"/>
      <c r="E370" s="336">
        <f t="shared" si="70"/>
        <v>0</v>
      </c>
      <c r="F370" s="336">
        <f t="shared" ca="1" si="71"/>
        <v>0</v>
      </c>
      <c r="G370" s="336">
        <f t="shared" ca="1" si="72"/>
        <v>0</v>
      </c>
      <c r="H370" s="336">
        <f t="shared" ca="1" si="73"/>
        <v>0</v>
      </c>
      <c r="I370" s="337">
        <f t="shared" ca="1" si="74"/>
        <v>0</v>
      </c>
    </row>
    <row r="371" spans="1:9">
      <c r="A371" s="335">
        <f t="shared" si="75"/>
        <v>354</v>
      </c>
      <c r="B371" s="340">
        <f t="shared" si="76"/>
        <v>57040</v>
      </c>
      <c r="C371" s="336">
        <f t="shared" ca="1" si="69"/>
        <v>0</v>
      </c>
      <c r="D371" s="335"/>
      <c r="E371" s="336">
        <f t="shared" ca="1" si="70"/>
        <v>0</v>
      </c>
      <c r="F371" s="336">
        <f t="shared" ca="1" si="71"/>
        <v>0</v>
      </c>
      <c r="G371" s="336">
        <f t="shared" ca="1" si="72"/>
        <v>0</v>
      </c>
      <c r="H371" s="336">
        <f t="shared" ca="1" si="73"/>
        <v>0</v>
      </c>
      <c r="I371" s="337">
        <f t="shared" ca="1" si="74"/>
        <v>0</v>
      </c>
    </row>
    <row r="372" spans="1:9">
      <c r="A372" s="335">
        <f t="shared" si="75"/>
        <v>355</v>
      </c>
      <c r="B372" s="340">
        <f t="shared" si="76"/>
        <v>57071</v>
      </c>
      <c r="C372" s="336">
        <f t="shared" ca="1" si="69"/>
        <v>0</v>
      </c>
      <c r="D372" s="335"/>
      <c r="E372" s="336">
        <f t="shared" si="70"/>
        <v>0</v>
      </c>
      <c r="F372" s="336">
        <f t="shared" ca="1" si="71"/>
        <v>0</v>
      </c>
      <c r="G372" s="336">
        <f t="shared" ca="1" si="72"/>
        <v>0</v>
      </c>
      <c r="H372" s="336">
        <f t="shared" ca="1" si="73"/>
        <v>0</v>
      </c>
      <c r="I372" s="337">
        <f t="shared" ca="1" si="74"/>
        <v>0</v>
      </c>
    </row>
    <row r="373" spans="1:9">
      <c r="A373" s="335">
        <f t="shared" si="75"/>
        <v>356</v>
      </c>
      <c r="B373" s="340">
        <f t="shared" si="76"/>
        <v>57101</v>
      </c>
      <c r="C373" s="336">
        <f t="shared" ca="1" si="69"/>
        <v>0</v>
      </c>
      <c r="D373" s="335"/>
      <c r="E373" s="336">
        <f t="shared" si="70"/>
        <v>0</v>
      </c>
      <c r="F373" s="336">
        <f t="shared" ca="1" si="71"/>
        <v>0</v>
      </c>
      <c r="G373" s="336">
        <f t="shared" ca="1" si="72"/>
        <v>0</v>
      </c>
      <c r="H373" s="336">
        <f t="shared" ca="1" si="73"/>
        <v>0</v>
      </c>
      <c r="I373" s="337">
        <f t="shared" ca="1" si="74"/>
        <v>0</v>
      </c>
    </row>
    <row r="374" spans="1:9">
      <c r="A374" s="335">
        <f t="shared" si="75"/>
        <v>357</v>
      </c>
      <c r="B374" s="340">
        <f t="shared" si="76"/>
        <v>57132</v>
      </c>
      <c r="C374" s="336">
        <f t="shared" ca="1" si="69"/>
        <v>0</v>
      </c>
      <c r="D374" s="335"/>
      <c r="E374" s="336">
        <f t="shared" si="70"/>
        <v>0</v>
      </c>
      <c r="F374" s="336">
        <f t="shared" ca="1" si="71"/>
        <v>0</v>
      </c>
      <c r="G374" s="336">
        <f t="shared" ca="1" si="72"/>
        <v>0</v>
      </c>
      <c r="H374" s="336">
        <f t="shared" ca="1" si="73"/>
        <v>0</v>
      </c>
      <c r="I374" s="337">
        <f t="shared" ca="1" si="74"/>
        <v>0</v>
      </c>
    </row>
    <row r="375" spans="1:9">
      <c r="A375" s="335">
        <f t="shared" si="75"/>
        <v>358</v>
      </c>
      <c r="B375" s="340">
        <f t="shared" si="76"/>
        <v>57162</v>
      </c>
      <c r="C375" s="336">
        <f t="shared" ca="1" si="69"/>
        <v>0</v>
      </c>
      <c r="D375" s="335"/>
      <c r="E375" s="336">
        <f t="shared" si="70"/>
        <v>0</v>
      </c>
      <c r="F375" s="336">
        <f t="shared" ca="1" si="71"/>
        <v>0</v>
      </c>
      <c r="G375" s="336">
        <f t="shared" ca="1" si="72"/>
        <v>0</v>
      </c>
      <c r="H375" s="336">
        <f t="shared" ca="1" si="73"/>
        <v>0</v>
      </c>
      <c r="I375" s="337">
        <f t="shared" ca="1" si="74"/>
        <v>0</v>
      </c>
    </row>
    <row r="376" spans="1:9">
      <c r="A376" s="335">
        <f t="shared" si="75"/>
        <v>359</v>
      </c>
      <c r="B376" s="340">
        <f t="shared" si="76"/>
        <v>57193</v>
      </c>
      <c r="C376" s="336">
        <f t="shared" ca="1" si="69"/>
        <v>0</v>
      </c>
      <c r="D376" s="335"/>
      <c r="E376" s="336">
        <f t="shared" si="70"/>
        <v>0</v>
      </c>
      <c r="F376" s="336">
        <f t="shared" ca="1" si="71"/>
        <v>0</v>
      </c>
      <c r="G376" s="336">
        <f t="shared" ca="1" si="72"/>
        <v>0</v>
      </c>
      <c r="H376" s="336">
        <f t="shared" ca="1" si="73"/>
        <v>0</v>
      </c>
      <c r="I376" s="337">
        <f t="shared" ca="1" si="74"/>
        <v>0</v>
      </c>
    </row>
    <row r="377" spans="1:9">
      <c r="A377" s="335">
        <f t="shared" si="75"/>
        <v>360</v>
      </c>
      <c r="B377" s="340">
        <f t="shared" si="76"/>
        <v>57224</v>
      </c>
      <c r="C377" s="336">
        <f t="shared" ca="1" si="69"/>
        <v>0</v>
      </c>
      <c r="D377" s="335"/>
      <c r="E377" s="336">
        <f t="shared" ca="1" si="70"/>
        <v>0</v>
      </c>
      <c r="F377" s="336">
        <f t="shared" ca="1" si="71"/>
        <v>0</v>
      </c>
      <c r="G377" s="336">
        <f t="shared" ca="1" si="72"/>
        <v>0</v>
      </c>
      <c r="H377" s="336">
        <f t="shared" ca="1" si="73"/>
        <v>0</v>
      </c>
      <c r="I377" s="337">
        <f t="shared" ca="1" si="74"/>
        <v>0</v>
      </c>
    </row>
    <row r="378" spans="1:9">
      <c r="A378" s="335">
        <f t="shared" si="75"/>
        <v>361</v>
      </c>
      <c r="B378" s="340">
        <f t="shared" si="76"/>
        <v>57254</v>
      </c>
      <c r="C378" s="336">
        <f t="shared" ca="1" si="69"/>
        <v>0</v>
      </c>
      <c r="D378" s="335"/>
      <c r="E378" s="336">
        <f t="shared" si="70"/>
        <v>0</v>
      </c>
      <c r="F378" s="336">
        <f t="shared" ca="1" si="71"/>
        <v>0</v>
      </c>
      <c r="G378" s="336">
        <f t="shared" ca="1" si="72"/>
        <v>0</v>
      </c>
      <c r="H378" s="336">
        <f t="shared" ca="1" si="73"/>
        <v>0</v>
      </c>
      <c r="I378" s="337">
        <f t="shared" ca="1" si="74"/>
        <v>0</v>
      </c>
    </row>
    <row r="379" spans="1:9">
      <c r="A379" s="335">
        <f t="shared" si="75"/>
        <v>362</v>
      </c>
      <c r="B379" s="340">
        <f t="shared" si="76"/>
        <v>57285</v>
      </c>
      <c r="C379" s="336">
        <f t="shared" ca="1" si="69"/>
        <v>0</v>
      </c>
      <c r="D379" s="335"/>
      <c r="E379" s="336">
        <f t="shared" si="70"/>
        <v>0</v>
      </c>
      <c r="F379" s="336">
        <f t="shared" ca="1" si="71"/>
        <v>0</v>
      </c>
      <c r="G379" s="336">
        <f t="shared" ca="1" si="72"/>
        <v>0</v>
      </c>
      <c r="H379" s="336">
        <f t="shared" ca="1" si="73"/>
        <v>0</v>
      </c>
      <c r="I379" s="337">
        <f t="shared" ca="1" si="74"/>
        <v>0</v>
      </c>
    </row>
    <row r="380" spans="1:9">
      <c r="A380" s="335">
        <f t="shared" si="75"/>
        <v>363</v>
      </c>
      <c r="B380" s="340">
        <f t="shared" si="76"/>
        <v>57315</v>
      </c>
      <c r="C380" s="336">
        <f t="shared" ca="1" si="69"/>
        <v>0</v>
      </c>
      <c r="D380" s="335"/>
      <c r="E380" s="336">
        <f t="shared" si="70"/>
        <v>0</v>
      </c>
      <c r="F380" s="336">
        <f t="shared" ca="1" si="71"/>
        <v>0</v>
      </c>
      <c r="G380" s="336">
        <f t="shared" ca="1" si="72"/>
        <v>0</v>
      </c>
      <c r="H380" s="336">
        <f t="shared" ca="1" si="73"/>
        <v>0</v>
      </c>
      <c r="I380" s="337">
        <f t="shared" ca="1" si="74"/>
        <v>0</v>
      </c>
    </row>
    <row r="381" spans="1:9">
      <c r="A381" s="335">
        <f t="shared" si="75"/>
        <v>364</v>
      </c>
      <c r="B381" s="340">
        <f t="shared" si="76"/>
        <v>57346</v>
      </c>
      <c r="C381" s="336">
        <f t="shared" ca="1" si="69"/>
        <v>0</v>
      </c>
      <c r="D381" s="335"/>
      <c r="E381" s="336">
        <f t="shared" si="70"/>
        <v>0</v>
      </c>
      <c r="F381" s="336">
        <f t="shared" ca="1" si="71"/>
        <v>0</v>
      </c>
      <c r="G381" s="336">
        <f t="shared" ca="1" si="72"/>
        <v>0</v>
      </c>
      <c r="H381" s="336">
        <f t="shared" ca="1" si="73"/>
        <v>0</v>
      </c>
      <c r="I381" s="337">
        <f t="shared" ca="1" si="74"/>
        <v>0</v>
      </c>
    </row>
    <row r="382" spans="1:9">
      <c r="A382" s="335">
        <f t="shared" si="75"/>
        <v>365</v>
      </c>
      <c r="B382" s="340">
        <f t="shared" si="76"/>
        <v>57377</v>
      </c>
      <c r="C382" s="336">
        <f t="shared" ref="C382:C417" ca="1" si="77">IF(H381=0,0,H381)</f>
        <v>0</v>
      </c>
      <c r="D382" s="335"/>
      <c r="E382" s="336">
        <f t="shared" ref="E382:E417" si="78">IF($D$10=1,IF(OR(MONTH(B382)=MONTH(EDATE($D$7,0)),MONTH(B382)=MONTH(EDATE($D$7,6))),(MIN($D$305,H381)),0),IF($D$10=0,IF(OR(MONTH(B382)=MONTH(EDATE($D$7,5)),MONTH(B382)=MONTH(EDATE($D$7,11))),(MIN($D$305,H381)),0)))</f>
        <v>0</v>
      </c>
      <c r="F382" s="336">
        <f t="shared" ref="F382:F417" ca="1" si="79">IF(E382="","",E382-G382)</f>
        <v>0</v>
      </c>
      <c r="G382" s="336">
        <f t="shared" ref="G382:G417" ca="1" si="80">ROUND((C382-E382)*$D$5,3)</f>
        <v>0</v>
      </c>
      <c r="H382" s="336">
        <f t="shared" ref="H382:H417" ca="1" si="81">IF(E382="","",ROUND(H381-F382,4))</f>
        <v>0</v>
      </c>
      <c r="I382" s="337">
        <f t="shared" ref="I382:I417" ca="1" si="82">ROUND((D382-H382),0)</f>
        <v>0</v>
      </c>
    </row>
    <row r="383" spans="1:9">
      <c r="A383" s="335">
        <f t="shared" si="75"/>
        <v>366</v>
      </c>
      <c r="B383" s="340">
        <f t="shared" si="76"/>
        <v>57405</v>
      </c>
      <c r="C383" s="336">
        <f t="shared" ca="1" si="77"/>
        <v>0</v>
      </c>
      <c r="D383" s="335"/>
      <c r="E383" s="336">
        <f t="shared" ca="1" si="78"/>
        <v>0</v>
      </c>
      <c r="F383" s="336">
        <f t="shared" ca="1" si="79"/>
        <v>0</v>
      </c>
      <c r="G383" s="336">
        <f t="shared" ca="1" si="80"/>
        <v>0</v>
      </c>
      <c r="H383" s="336">
        <f t="shared" ca="1" si="81"/>
        <v>0</v>
      </c>
      <c r="I383" s="337">
        <f t="shared" ca="1" si="82"/>
        <v>0</v>
      </c>
    </row>
    <row r="384" spans="1:9">
      <c r="A384" s="335">
        <f t="shared" si="75"/>
        <v>367</v>
      </c>
      <c r="B384" s="340">
        <f t="shared" si="76"/>
        <v>57436</v>
      </c>
      <c r="C384" s="336">
        <f t="shared" ca="1" si="77"/>
        <v>0</v>
      </c>
      <c r="D384" s="335"/>
      <c r="E384" s="336">
        <f t="shared" si="78"/>
        <v>0</v>
      </c>
      <c r="F384" s="336">
        <f t="shared" ca="1" si="79"/>
        <v>0</v>
      </c>
      <c r="G384" s="336">
        <f t="shared" ca="1" si="80"/>
        <v>0</v>
      </c>
      <c r="H384" s="336">
        <f t="shared" ca="1" si="81"/>
        <v>0</v>
      </c>
      <c r="I384" s="337">
        <f t="shared" ca="1" si="82"/>
        <v>0</v>
      </c>
    </row>
    <row r="385" spans="1:9">
      <c r="A385" s="335">
        <f t="shared" si="75"/>
        <v>368</v>
      </c>
      <c r="B385" s="340">
        <f t="shared" si="76"/>
        <v>57466</v>
      </c>
      <c r="C385" s="336">
        <f t="shared" ca="1" si="77"/>
        <v>0</v>
      </c>
      <c r="D385" s="335"/>
      <c r="E385" s="336">
        <f t="shared" si="78"/>
        <v>0</v>
      </c>
      <c r="F385" s="336">
        <f t="shared" ca="1" si="79"/>
        <v>0</v>
      </c>
      <c r="G385" s="336">
        <f t="shared" ca="1" si="80"/>
        <v>0</v>
      </c>
      <c r="H385" s="336">
        <f t="shared" ca="1" si="81"/>
        <v>0</v>
      </c>
      <c r="I385" s="337">
        <f t="shared" ca="1" si="82"/>
        <v>0</v>
      </c>
    </row>
    <row r="386" spans="1:9">
      <c r="A386" s="335">
        <f t="shared" si="75"/>
        <v>369</v>
      </c>
      <c r="B386" s="340">
        <f t="shared" si="76"/>
        <v>57497</v>
      </c>
      <c r="C386" s="336">
        <f t="shared" ca="1" si="77"/>
        <v>0</v>
      </c>
      <c r="D386" s="335"/>
      <c r="E386" s="336">
        <f t="shared" si="78"/>
        <v>0</v>
      </c>
      <c r="F386" s="336">
        <f t="shared" ca="1" si="79"/>
        <v>0</v>
      </c>
      <c r="G386" s="336">
        <f t="shared" ca="1" si="80"/>
        <v>0</v>
      </c>
      <c r="H386" s="336">
        <f t="shared" ca="1" si="81"/>
        <v>0</v>
      </c>
      <c r="I386" s="337">
        <f t="shared" ca="1" si="82"/>
        <v>0</v>
      </c>
    </row>
    <row r="387" spans="1:9">
      <c r="A387" s="335">
        <f t="shared" si="75"/>
        <v>370</v>
      </c>
      <c r="B387" s="340">
        <f t="shared" si="76"/>
        <v>57527</v>
      </c>
      <c r="C387" s="336">
        <f t="shared" ca="1" si="77"/>
        <v>0</v>
      </c>
      <c r="D387" s="335"/>
      <c r="E387" s="336">
        <f t="shared" si="78"/>
        <v>0</v>
      </c>
      <c r="F387" s="336">
        <f t="shared" ca="1" si="79"/>
        <v>0</v>
      </c>
      <c r="G387" s="336">
        <f t="shared" ca="1" si="80"/>
        <v>0</v>
      </c>
      <c r="H387" s="336">
        <f t="shared" ca="1" si="81"/>
        <v>0</v>
      </c>
      <c r="I387" s="337">
        <f t="shared" ca="1" si="82"/>
        <v>0</v>
      </c>
    </row>
    <row r="388" spans="1:9">
      <c r="A388" s="335">
        <f t="shared" si="75"/>
        <v>371</v>
      </c>
      <c r="B388" s="340">
        <f t="shared" si="76"/>
        <v>57558</v>
      </c>
      <c r="C388" s="336">
        <f t="shared" ca="1" si="77"/>
        <v>0</v>
      </c>
      <c r="D388" s="335"/>
      <c r="E388" s="336">
        <f t="shared" si="78"/>
        <v>0</v>
      </c>
      <c r="F388" s="336">
        <f t="shared" ca="1" si="79"/>
        <v>0</v>
      </c>
      <c r="G388" s="336">
        <f t="shared" ca="1" si="80"/>
        <v>0</v>
      </c>
      <c r="H388" s="336">
        <f t="shared" ca="1" si="81"/>
        <v>0</v>
      </c>
      <c r="I388" s="337">
        <f t="shared" ca="1" si="82"/>
        <v>0</v>
      </c>
    </row>
    <row r="389" spans="1:9">
      <c r="A389" s="335">
        <f t="shared" si="75"/>
        <v>372</v>
      </c>
      <c r="B389" s="340">
        <f t="shared" si="76"/>
        <v>57589</v>
      </c>
      <c r="C389" s="336">
        <f t="shared" ca="1" si="77"/>
        <v>0</v>
      </c>
      <c r="D389" s="335"/>
      <c r="E389" s="336">
        <f t="shared" ca="1" si="78"/>
        <v>0</v>
      </c>
      <c r="F389" s="336">
        <f t="shared" ca="1" si="79"/>
        <v>0</v>
      </c>
      <c r="G389" s="336">
        <f t="shared" ca="1" si="80"/>
        <v>0</v>
      </c>
      <c r="H389" s="336">
        <f t="shared" ca="1" si="81"/>
        <v>0</v>
      </c>
      <c r="I389" s="337">
        <f t="shared" ca="1" si="82"/>
        <v>0</v>
      </c>
    </row>
    <row r="390" spans="1:9">
      <c r="A390" s="335">
        <f t="shared" si="75"/>
        <v>373</v>
      </c>
      <c r="B390" s="340">
        <f t="shared" si="76"/>
        <v>57619</v>
      </c>
      <c r="C390" s="336">
        <f t="shared" ca="1" si="77"/>
        <v>0</v>
      </c>
      <c r="D390" s="335"/>
      <c r="E390" s="336">
        <f t="shared" si="78"/>
        <v>0</v>
      </c>
      <c r="F390" s="336">
        <f t="shared" ca="1" si="79"/>
        <v>0</v>
      </c>
      <c r="G390" s="336">
        <f t="shared" ca="1" si="80"/>
        <v>0</v>
      </c>
      <c r="H390" s="336">
        <f t="shared" ca="1" si="81"/>
        <v>0</v>
      </c>
      <c r="I390" s="337">
        <f t="shared" ca="1" si="82"/>
        <v>0</v>
      </c>
    </row>
    <row r="391" spans="1:9">
      <c r="A391" s="335">
        <f t="shared" si="75"/>
        <v>374</v>
      </c>
      <c r="B391" s="340">
        <f t="shared" si="76"/>
        <v>57650</v>
      </c>
      <c r="C391" s="336">
        <f t="shared" ca="1" si="77"/>
        <v>0</v>
      </c>
      <c r="D391" s="335"/>
      <c r="E391" s="336">
        <f t="shared" si="78"/>
        <v>0</v>
      </c>
      <c r="F391" s="336">
        <f t="shared" ca="1" si="79"/>
        <v>0</v>
      </c>
      <c r="G391" s="336">
        <f t="shared" ca="1" si="80"/>
        <v>0</v>
      </c>
      <c r="H391" s="336">
        <f t="shared" ca="1" si="81"/>
        <v>0</v>
      </c>
      <c r="I391" s="337">
        <f t="shared" ca="1" si="82"/>
        <v>0</v>
      </c>
    </row>
    <row r="392" spans="1:9">
      <c r="A392" s="335">
        <f t="shared" si="75"/>
        <v>375</v>
      </c>
      <c r="B392" s="340">
        <f t="shared" si="76"/>
        <v>57680</v>
      </c>
      <c r="C392" s="336">
        <f t="shared" ca="1" si="77"/>
        <v>0</v>
      </c>
      <c r="D392" s="335"/>
      <c r="E392" s="336">
        <f t="shared" si="78"/>
        <v>0</v>
      </c>
      <c r="F392" s="336">
        <f t="shared" ca="1" si="79"/>
        <v>0</v>
      </c>
      <c r="G392" s="336">
        <f t="shared" ca="1" si="80"/>
        <v>0</v>
      </c>
      <c r="H392" s="336">
        <f t="shared" ca="1" si="81"/>
        <v>0</v>
      </c>
      <c r="I392" s="337">
        <f t="shared" ca="1" si="82"/>
        <v>0</v>
      </c>
    </row>
    <row r="393" spans="1:9">
      <c r="A393" s="335">
        <f t="shared" si="75"/>
        <v>376</v>
      </c>
      <c r="B393" s="340">
        <f t="shared" si="76"/>
        <v>57711</v>
      </c>
      <c r="C393" s="336">
        <f t="shared" ca="1" si="77"/>
        <v>0</v>
      </c>
      <c r="D393" s="335"/>
      <c r="E393" s="336">
        <f t="shared" si="78"/>
        <v>0</v>
      </c>
      <c r="F393" s="336">
        <f t="shared" ca="1" si="79"/>
        <v>0</v>
      </c>
      <c r="G393" s="336">
        <f t="shared" ca="1" si="80"/>
        <v>0</v>
      </c>
      <c r="H393" s="336">
        <f t="shared" ca="1" si="81"/>
        <v>0</v>
      </c>
      <c r="I393" s="337">
        <f t="shared" ca="1" si="82"/>
        <v>0</v>
      </c>
    </row>
    <row r="394" spans="1:9">
      <c r="A394" s="335">
        <f t="shared" si="75"/>
        <v>377</v>
      </c>
      <c r="B394" s="340">
        <f t="shared" si="76"/>
        <v>57742</v>
      </c>
      <c r="C394" s="336">
        <f t="shared" ca="1" si="77"/>
        <v>0</v>
      </c>
      <c r="D394" s="335"/>
      <c r="E394" s="336">
        <f t="shared" si="78"/>
        <v>0</v>
      </c>
      <c r="F394" s="336">
        <f t="shared" ca="1" si="79"/>
        <v>0</v>
      </c>
      <c r="G394" s="336">
        <f t="shared" ca="1" si="80"/>
        <v>0</v>
      </c>
      <c r="H394" s="336">
        <f t="shared" ca="1" si="81"/>
        <v>0</v>
      </c>
      <c r="I394" s="337">
        <f t="shared" ca="1" si="82"/>
        <v>0</v>
      </c>
    </row>
    <row r="395" spans="1:9">
      <c r="A395" s="335">
        <f t="shared" si="75"/>
        <v>378</v>
      </c>
      <c r="B395" s="340">
        <f t="shared" si="76"/>
        <v>57770</v>
      </c>
      <c r="C395" s="336">
        <f t="shared" ca="1" si="77"/>
        <v>0</v>
      </c>
      <c r="D395" s="335"/>
      <c r="E395" s="336">
        <f t="shared" ca="1" si="78"/>
        <v>0</v>
      </c>
      <c r="F395" s="336">
        <f t="shared" ca="1" si="79"/>
        <v>0</v>
      </c>
      <c r="G395" s="336">
        <f t="shared" ca="1" si="80"/>
        <v>0</v>
      </c>
      <c r="H395" s="336">
        <f t="shared" ca="1" si="81"/>
        <v>0</v>
      </c>
      <c r="I395" s="337">
        <f t="shared" ca="1" si="82"/>
        <v>0</v>
      </c>
    </row>
    <row r="396" spans="1:9">
      <c r="A396" s="335">
        <f t="shared" si="75"/>
        <v>379</v>
      </c>
      <c r="B396" s="340">
        <f t="shared" si="76"/>
        <v>57801</v>
      </c>
      <c r="C396" s="336">
        <f t="shared" ca="1" si="77"/>
        <v>0</v>
      </c>
      <c r="D396" s="335"/>
      <c r="E396" s="336">
        <f t="shared" si="78"/>
        <v>0</v>
      </c>
      <c r="F396" s="336">
        <f t="shared" ca="1" si="79"/>
        <v>0</v>
      </c>
      <c r="G396" s="336">
        <f t="shared" ca="1" si="80"/>
        <v>0</v>
      </c>
      <c r="H396" s="336">
        <f t="shared" ca="1" si="81"/>
        <v>0</v>
      </c>
      <c r="I396" s="337">
        <f t="shared" ca="1" si="82"/>
        <v>0</v>
      </c>
    </row>
    <row r="397" spans="1:9">
      <c r="A397" s="335">
        <f t="shared" si="75"/>
        <v>380</v>
      </c>
      <c r="B397" s="340">
        <f t="shared" si="76"/>
        <v>57831</v>
      </c>
      <c r="C397" s="336">
        <f t="shared" ca="1" si="77"/>
        <v>0</v>
      </c>
      <c r="D397" s="335"/>
      <c r="E397" s="336">
        <f t="shared" si="78"/>
        <v>0</v>
      </c>
      <c r="F397" s="336">
        <f t="shared" ca="1" si="79"/>
        <v>0</v>
      </c>
      <c r="G397" s="336">
        <f t="shared" ca="1" si="80"/>
        <v>0</v>
      </c>
      <c r="H397" s="336">
        <f t="shared" ca="1" si="81"/>
        <v>0</v>
      </c>
      <c r="I397" s="337">
        <f t="shared" ca="1" si="82"/>
        <v>0</v>
      </c>
    </row>
    <row r="398" spans="1:9">
      <c r="A398" s="335">
        <f t="shared" si="75"/>
        <v>381</v>
      </c>
      <c r="B398" s="340">
        <f t="shared" si="76"/>
        <v>57862</v>
      </c>
      <c r="C398" s="336">
        <f t="shared" ca="1" si="77"/>
        <v>0</v>
      </c>
      <c r="D398" s="335"/>
      <c r="E398" s="336">
        <f t="shared" si="78"/>
        <v>0</v>
      </c>
      <c r="F398" s="336">
        <f t="shared" ca="1" si="79"/>
        <v>0</v>
      </c>
      <c r="G398" s="336">
        <f t="shared" ca="1" si="80"/>
        <v>0</v>
      </c>
      <c r="H398" s="336">
        <f t="shared" ca="1" si="81"/>
        <v>0</v>
      </c>
      <c r="I398" s="337">
        <f t="shared" ca="1" si="82"/>
        <v>0</v>
      </c>
    </row>
    <row r="399" spans="1:9">
      <c r="A399" s="335">
        <f t="shared" si="75"/>
        <v>382</v>
      </c>
      <c r="B399" s="340">
        <f t="shared" si="76"/>
        <v>57892</v>
      </c>
      <c r="C399" s="336">
        <f t="shared" ca="1" si="77"/>
        <v>0</v>
      </c>
      <c r="D399" s="335"/>
      <c r="E399" s="336">
        <f t="shared" si="78"/>
        <v>0</v>
      </c>
      <c r="F399" s="336">
        <f t="shared" ca="1" si="79"/>
        <v>0</v>
      </c>
      <c r="G399" s="336">
        <f t="shared" ca="1" si="80"/>
        <v>0</v>
      </c>
      <c r="H399" s="336">
        <f t="shared" ca="1" si="81"/>
        <v>0</v>
      </c>
      <c r="I399" s="337">
        <f t="shared" ca="1" si="82"/>
        <v>0</v>
      </c>
    </row>
    <row r="400" spans="1:9">
      <c r="A400" s="335">
        <f t="shared" si="75"/>
        <v>383</v>
      </c>
      <c r="B400" s="340">
        <f t="shared" si="76"/>
        <v>57923</v>
      </c>
      <c r="C400" s="336">
        <f t="shared" ca="1" si="77"/>
        <v>0</v>
      </c>
      <c r="D400" s="335"/>
      <c r="E400" s="336">
        <f t="shared" si="78"/>
        <v>0</v>
      </c>
      <c r="F400" s="336">
        <f t="shared" ca="1" si="79"/>
        <v>0</v>
      </c>
      <c r="G400" s="336">
        <f t="shared" ca="1" si="80"/>
        <v>0</v>
      </c>
      <c r="H400" s="336">
        <f t="shared" ca="1" si="81"/>
        <v>0</v>
      </c>
      <c r="I400" s="337">
        <f t="shared" ca="1" si="82"/>
        <v>0</v>
      </c>
    </row>
    <row r="401" spans="1:9">
      <c r="A401" s="335">
        <f t="shared" si="75"/>
        <v>384</v>
      </c>
      <c r="B401" s="340">
        <f t="shared" si="76"/>
        <v>57954</v>
      </c>
      <c r="C401" s="336">
        <f t="shared" ca="1" si="77"/>
        <v>0</v>
      </c>
      <c r="D401" s="335"/>
      <c r="E401" s="336">
        <f t="shared" ca="1" si="78"/>
        <v>0</v>
      </c>
      <c r="F401" s="336">
        <f t="shared" ca="1" si="79"/>
        <v>0</v>
      </c>
      <c r="G401" s="336">
        <f t="shared" ca="1" si="80"/>
        <v>0</v>
      </c>
      <c r="H401" s="336">
        <f t="shared" ca="1" si="81"/>
        <v>0</v>
      </c>
      <c r="I401" s="337">
        <f t="shared" ca="1" si="82"/>
        <v>0</v>
      </c>
    </row>
    <row r="402" spans="1:9">
      <c r="A402" s="335">
        <f t="shared" si="75"/>
        <v>385</v>
      </c>
      <c r="B402" s="340">
        <f t="shared" si="76"/>
        <v>57984</v>
      </c>
      <c r="C402" s="336">
        <f t="shared" ca="1" si="77"/>
        <v>0</v>
      </c>
      <c r="D402" s="335"/>
      <c r="E402" s="336">
        <f t="shared" si="78"/>
        <v>0</v>
      </c>
      <c r="F402" s="336">
        <f t="shared" ca="1" si="79"/>
        <v>0</v>
      </c>
      <c r="G402" s="336">
        <f t="shared" ca="1" si="80"/>
        <v>0</v>
      </c>
      <c r="H402" s="336">
        <f t="shared" ca="1" si="81"/>
        <v>0</v>
      </c>
      <c r="I402" s="337">
        <f t="shared" ca="1" si="82"/>
        <v>0</v>
      </c>
    </row>
    <row r="403" spans="1:9">
      <c r="A403" s="335">
        <f t="shared" ref="A403:A466" si="83">IF(A402="","",IF(A402=$D$6,"",A402+1))</f>
        <v>386</v>
      </c>
      <c r="B403" s="340">
        <f t="shared" si="76"/>
        <v>58015</v>
      </c>
      <c r="C403" s="336">
        <f t="shared" ca="1" si="77"/>
        <v>0</v>
      </c>
      <c r="D403" s="335"/>
      <c r="E403" s="336">
        <f t="shared" si="78"/>
        <v>0</v>
      </c>
      <c r="F403" s="336">
        <f t="shared" ca="1" si="79"/>
        <v>0</v>
      </c>
      <c r="G403" s="336">
        <f t="shared" ca="1" si="80"/>
        <v>0</v>
      </c>
      <c r="H403" s="336">
        <f t="shared" ca="1" si="81"/>
        <v>0</v>
      </c>
      <c r="I403" s="337">
        <f t="shared" ca="1" si="82"/>
        <v>0</v>
      </c>
    </row>
    <row r="404" spans="1:9">
      <c r="A404" s="335">
        <f t="shared" si="83"/>
        <v>387</v>
      </c>
      <c r="B404" s="340">
        <f t="shared" ref="B404:B467" si="84">DATE(YEAR(B403),MONTH(B403)+1,1)</f>
        <v>58045</v>
      </c>
      <c r="C404" s="336">
        <f t="shared" ca="1" si="77"/>
        <v>0</v>
      </c>
      <c r="D404" s="335"/>
      <c r="E404" s="336">
        <f t="shared" si="78"/>
        <v>0</v>
      </c>
      <c r="F404" s="336">
        <f t="shared" ca="1" si="79"/>
        <v>0</v>
      </c>
      <c r="G404" s="336">
        <f t="shared" ca="1" si="80"/>
        <v>0</v>
      </c>
      <c r="H404" s="336">
        <f t="shared" ca="1" si="81"/>
        <v>0</v>
      </c>
      <c r="I404" s="337">
        <f t="shared" ca="1" si="82"/>
        <v>0</v>
      </c>
    </row>
    <row r="405" spans="1:9">
      <c r="A405" s="335">
        <f t="shared" si="83"/>
        <v>388</v>
      </c>
      <c r="B405" s="340">
        <f t="shared" si="84"/>
        <v>58076</v>
      </c>
      <c r="C405" s="336">
        <f t="shared" ca="1" si="77"/>
        <v>0</v>
      </c>
      <c r="D405" s="335"/>
      <c r="E405" s="336">
        <f t="shared" si="78"/>
        <v>0</v>
      </c>
      <c r="F405" s="336">
        <f t="shared" ca="1" si="79"/>
        <v>0</v>
      </c>
      <c r="G405" s="336">
        <f t="shared" ca="1" si="80"/>
        <v>0</v>
      </c>
      <c r="H405" s="336">
        <f t="shared" ca="1" si="81"/>
        <v>0</v>
      </c>
      <c r="I405" s="337">
        <f t="shared" ca="1" si="82"/>
        <v>0</v>
      </c>
    </row>
    <row r="406" spans="1:9">
      <c r="A406" s="335">
        <f t="shared" si="83"/>
        <v>389</v>
      </c>
      <c r="B406" s="340">
        <f t="shared" si="84"/>
        <v>58107</v>
      </c>
      <c r="C406" s="336">
        <f t="shared" ca="1" si="77"/>
        <v>0</v>
      </c>
      <c r="D406" s="335"/>
      <c r="E406" s="336">
        <f t="shared" si="78"/>
        <v>0</v>
      </c>
      <c r="F406" s="336">
        <f t="shared" ca="1" si="79"/>
        <v>0</v>
      </c>
      <c r="G406" s="336">
        <f t="shared" ca="1" si="80"/>
        <v>0</v>
      </c>
      <c r="H406" s="336">
        <f t="shared" ca="1" si="81"/>
        <v>0</v>
      </c>
      <c r="I406" s="337">
        <f t="shared" ca="1" si="82"/>
        <v>0</v>
      </c>
    </row>
    <row r="407" spans="1:9">
      <c r="A407" s="335">
        <f t="shared" si="83"/>
        <v>390</v>
      </c>
      <c r="B407" s="340">
        <f t="shared" si="84"/>
        <v>58135</v>
      </c>
      <c r="C407" s="336">
        <f t="shared" ca="1" si="77"/>
        <v>0</v>
      </c>
      <c r="D407" s="335"/>
      <c r="E407" s="336">
        <f t="shared" ca="1" si="78"/>
        <v>0</v>
      </c>
      <c r="F407" s="336">
        <f t="shared" ca="1" si="79"/>
        <v>0</v>
      </c>
      <c r="G407" s="336">
        <f t="shared" ca="1" si="80"/>
        <v>0</v>
      </c>
      <c r="H407" s="336">
        <f t="shared" ca="1" si="81"/>
        <v>0</v>
      </c>
      <c r="I407" s="337">
        <f t="shared" ca="1" si="82"/>
        <v>0</v>
      </c>
    </row>
    <row r="408" spans="1:9">
      <c r="A408" s="335">
        <f t="shared" si="83"/>
        <v>391</v>
      </c>
      <c r="B408" s="340">
        <f t="shared" si="84"/>
        <v>58166</v>
      </c>
      <c r="C408" s="336">
        <f t="shared" ca="1" si="77"/>
        <v>0</v>
      </c>
      <c r="D408" s="335"/>
      <c r="E408" s="336">
        <f t="shared" si="78"/>
        <v>0</v>
      </c>
      <c r="F408" s="336">
        <f t="shared" ca="1" si="79"/>
        <v>0</v>
      </c>
      <c r="G408" s="336">
        <f t="shared" ca="1" si="80"/>
        <v>0</v>
      </c>
      <c r="H408" s="336">
        <f t="shared" ca="1" si="81"/>
        <v>0</v>
      </c>
      <c r="I408" s="337">
        <f t="shared" ca="1" si="82"/>
        <v>0</v>
      </c>
    </row>
    <row r="409" spans="1:9">
      <c r="A409" s="335">
        <f t="shared" si="83"/>
        <v>392</v>
      </c>
      <c r="B409" s="340">
        <f t="shared" si="84"/>
        <v>58196</v>
      </c>
      <c r="C409" s="336">
        <f t="shared" ca="1" si="77"/>
        <v>0</v>
      </c>
      <c r="D409" s="335"/>
      <c r="E409" s="336">
        <f t="shared" si="78"/>
        <v>0</v>
      </c>
      <c r="F409" s="336">
        <f t="shared" ca="1" si="79"/>
        <v>0</v>
      </c>
      <c r="G409" s="336">
        <f t="shared" ca="1" si="80"/>
        <v>0</v>
      </c>
      <c r="H409" s="336">
        <f t="shared" ca="1" si="81"/>
        <v>0</v>
      </c>
      <c r="I409" s="337">
        <f t="shared" ca="1" si="82"/>
        <v>0</v>
      </c>
    </row>
    <row r="410" spans="1:9">
      <c r="A410" s="335">
        <f t="shared" si="83"/>
        <v>393</v>
      </c>
      <c r="B410" s="340">
        <f t="shared" si="84"/>
        <v>58227</v>
      </c>
      <c r="C410" s="336">
        <f t="shared" ca="1" si="77"/>
        <v>0</v>
      </c>
      <c r="D410" s="335"/>
      <c r="E410" s="336">
        <f t="shared" si="78"/>
        <v>0</v>
      </c>
      <c r="F410" s="336">
        <f t="shared" ca="1" si="79"/>
        <v>0</v>
      </c>
      <c r="G410" s="336">
        <f t="shared" ca="1" si="80"/>
        <v>0</v>
      </c>
      <c r="H410" s="336">
        <f t="shared" ca="1" si="81"/>
        <v>0</v>
      </c>
      <c r="I410" s="337">
        <f t="shared" ca="1" si="82"/>
        <v>0</v>
      </c>
    </row>
    <row r="411" spans="1:9">
      <c r="A411" s="335">
        <f t="shared" si="83"/>
        <v>394</v>
      </c>
      <c r="B411" s="340">
        <f t="shared" si="84"/>
        <v>58257</v>
      </c>
      <c r="C411" s="336">
        <f t="shared" ca="1" si="77"/>
        <v>0</v>
      </c>
      <c r="D411" s="335"/>
      <c r="E411" s="336">
        <f t="shared" si="78"/>
        <v>0</v>
      </c>
      <c r="F411" s="336">
        <f t="shared" ca="1" si="79"/>
        <v>0</v>
      </c>
      <c r="G411" s="336">
        <f t="shared" ca="1" si="80"/>
        <v>0</v>
      </c>
      <c r="H411" s="336">
        <f t="shared" ca="1" si="81"/>
        <v>0</v>
      </c>
      <c r="I411" s="337">
        <f t="shared" ca="1" si="82"/>
        <v>0</v>
      </c>
    </row>
    <row r="412" spans="1:9">
      <c r="A412" s="335">
        <f t="shared" si="83"/>
        <v>395</v>
      </c>
      <c r="B412" s="340">
        <f t="shared" si="84"/>
        <v>58288</v>
      </c>
      <c r="C412" s="336">
        <f t="shared" ca="1" si="77"/>
        <v>0</v>
      </c>
      <c r="D412" s="335"/>
      <c r="E412" s="336">
        <f t="shared" si="78"/>
        <v>0</v>
      </c>
      <c r="F412" s="336">
        <f t="shared" ca="1" si="79"/>
        <v>0</v>
      </c>
      <c r="G412" s="336">
        <f t="shared" ca="1" si="80"/>
        <v>0</v>
      </c>
      <c r="H412" s="336">
        <f t="shared" ca="1" si="81"/>
        <v>0</v>
      </c>
      <c r="I412" s="337">
        <f t="shared" ca="1" si="82"/>
        <v>0</v>
      </c>
    </row>
    <row r="413" spans="1:9">
      <c r="A413" s="335">
        <f t="shared" si="83"/>
        <v>396</v>
      </c>
      <c r="B413" s="340">
        <f t="shared" si="84"/>
        <v>58319</v>
      </c>
      <c r="C413" s="336">
        <f t="shared" ca="1" si="77"/>
        <v>0</v>
      </c>
      <c r="D413" s="335"/>
      <c r="E413" s="336">
        <f t="shared" ca="1" si="78"/>
        <v>0</v>
      </c>
      <c r="F413" s="336">
        <f t="shared" ca="1" si="79"/>
        <v>0</v>
      </c>
      <c r="G413" s="336">
        <f t="shared" ca="1" si="80"/>
        <v>0</v>
      </c>
      <c r="H413" s="336">
        <f t="shared" ca="1" si="81"/>
        <v>0</v>
      </c>
      <c r="I413" s="337">
        <f t="shared" ca="1" si="82"/>
        <v>0</v>
      </c>
    </row>
    <row r="414" spans="1:9">
      <c r="A414" s="335">
        <f t="shared" si="83"/>
        <v>397</v>
      </c>
      <c r="B414" s="340">
        <f t="shared" si="84"/>
        <v>58349</v>
      </c>
      <c r="C414" s="336">
        <f t="shared" ca="1" si="77"/>
        <v>0</v>
      </c>
      <c r="D414" s="335"/>
      <c r="E414" s="336">
        <f t="shared" si="78"/>
        <v>0</v>
      </c>
      <c r="F414" s="336">
        <f t="shared" ca="1" si="79"/>
        <v>0</v>
      </c>
      <c r="G414" s="336">
        <f t="shared" ca="1" si="80"/>
        <v>0</v>
      </c>
      <c r="H414" s="336">
        <f t="shared" ca="1" si="81"/>
        <v>0</v>
      </c>
      <c r="I414" s="337">
        <f t="shared" ca="1" si="82"/>
        <v>0</v>
      </c>
    </row>
    <row r="415" spans="1:9">
      <c r="A415" s="335">
        <f t="shared" si="83"/>
        <v>398</v>
      </c>
      <c r="B415" s="340">
        <f t="shared" si="84"/>
        <v>58380</v>
      </c>
      <c r="C415" s="336">
        <f t="shared" ca="1" si="77"/>
        <v>0</v>
      </c>
      <c r="D415" s="335"/>
      <c r="E415" s="336">
        <f t="shared" si="78"/>
        <v>0</v>
      </c>
      <c r="F415" s="336">
        <f t="shared" ca="1" si="79"/>
        <v>0</v>
      </c>
      <c r="G415" s="336">
        <f t="shared" ca="1" si="80"/>
        <v>0</v>
      </c>
      <c r="H415" s="336">
        <f t="shared" ca="1" si="81"/>
        <v>0</v>
      </c>
      <c r="I415" s="337">
        <f t="shared" ca="1" si="82"/>
        <v>0</v>
      </c>
    </row>
    <row r="416" spans="1:9">
      <c r="A416" s="335">
        <f t="shared" si="83"/>
        <v>399</v>
      </c>
      <c r="B416" s="340">
        <f t="shared" si="84"/>
        <v>58410</v>
      </c>
      <c r="C416" s="336">
        <f t="shared" ca="1" si="77"/>
        <v>0</v>
      </c>
      <c r="D416" s="335"/>
      <c r="E416" s="336">
        <f t="shared" si="78"/>
        <v>0</v>
      </c>
      <c r="F416" s="336">
        <f t="shared" ca="1" si="79"/>
        <v>0</v>
      </c>
      <c r="G416" s="336">
        <f t="shared" ca="1" si="80"/>
        <v>0</v>
      </c>
      <c r="H416" s="336">
        <f t="shared" ca="1" si="81"/>
        <v>0</v>
      </c>
      <c r="I416" s="337">
        <f t="shared" ca="1" si="82"/>
        <v>0</v>
      </c>
    </row>
    <row r="417" spans="1:9">
      <c r="A417" s="335">
        <f t="shared" si="83"/>
        <v>400</v>
      </c>
      <c r="B417" s="340">
        <f t="shared" si="84"/>
        <v>58441</v>
      </c>
      <c r="C417" s="336">
        <f t="shared" ca="1" si="77"/>
        <v>0</v>
      </c>
      <c r="D417" s="335"/>
      <c r="E417" s="336">
        <f t="shared" si="78"/>
        <v>0</v>
      </c>
      <c r="F417" s="336">
        <f t="shared" ca="1" si="79"/>
        <v>0</v>
      </c>
      <c r="G417" s="336">
        <f t="shared" ca="1" si="80"/>
        <v>0</v>
      </c>
      <c r="H417" s="336">
        <f t="shared" ca="1" si="81"/>
        <v>0</v>
      </c>
      <c r="I417" s="337">
        <f t="shared" ca="1" si="82"/>
        <v>0</v>
      </c>
    </row>
    <row r="418" spans="1:9">
      <c r="A418" s="335">
        <f t="shared" si="83"/>
        <v>401</v>
      </c>
      <c r="B418" s="340">
        <f t="shared" si="84"/>
        <v>58472</v>
      </c>
      <c r="C418" s="336">
        <f t="shared" ref="C418:C481" ca="1" si="85">IF(H417=0,0,H417)</f>
        <v>0</v>
      </c>
      <c r="D418" s="335"/>
      <c r="E418" s="336">
        <f t="shared" ref="E418:E481" si="86">IF($D$10=1,IF(OR(MONTH(B418)=MONTH(EDATE($D$7,0)),MONTH(B418)=MONTH(EDATE($D$7,6))),(MIN($D$305,H417)),0),IF($D$10=0,IF(OR(MONTH(B418)=MONTH(EDATE($D$7,5)),MONTH(B418)=MONTH(EDATE($D$7,11))),(MIN($D$305,H417)),0)))</f>
        <v>0</v>
      </c>
      <c r="F418" s="336">
        <f t="shared" ref="F418:F481" ca="1" si="87">IF(E418="","",E418-G418)</f>
        <v>0</v>
      </c>
      <c r="G418" s="336">
        <f t="shared" ref="G418:G481" ca="1" si="88">ROUND((C418-E418)*$D$5,3)</f>
        <v>0</v>
      </c>
      <c r="H418" s="336">
        <f t="shared" ref="H418:H481" ca="1" si="89">IF(E418="","",ROUND(H417-F418,4))</f>
        <v>0</v>
      </c>
      <c r="I418" s="337">
        <f t="shared" ref="I418:I481" ca="1" si="90">ROUND((D418-H418),0)</f>
        <v>0</v>
      </c>
    </row>
    <row r="419" spans="1:9">
      <c r="A419" s="335">
        <f t="shared" si="83"/>
        <v>402</v>
      </c>
      <c r="B419" s="340">
        <f t="shared" si="84"/>
        <v>58501</v>
      </c>
      <c r="C419" s="336">
        <f t="shared" ca="1" si="85"/>
        <v>0</v>
      </c>
      <c r="D419" s="335"/>
      <c r="E419" s="336">
        <f t="shared" ca="1" si="86"/>
        <v>0</v>
      </c>
      <c r="F419" s="336">
        <f t="shared" ca="1" si="87"/>
        <v>0</v>
      </c>
      <c r="G419" s="336">
        <f t="shared" ca="1" si="88"/>
        <v>0</v>
      </c>
      <c r="H419" s="336">
        <f t="shared" ca="1" si="89"/>
        <v>0</v>
      </c>
      <c r="I419" s="337">
        <f t="shared" ca="1" si="90"/>
        <v>0</v>
      </c>
    </row>
    <row r="420" spans="1:9">
      <c r="A420" s="335">
        <f t="shared" si="83"/>
        <v>403</v>
      </c>
      <c r="B420" s="340">
        <f t="shared" si="84"/>
        <v>58532</v>
      </c>
      <c r="C420" s="336">
        <f t="shared" ca="1" si="85"/>
        <v>0</v>
      </c>
      <c r="D420" s="335"/>
      <c r="E420" s="336">
        <f t="shared" si="86"/>
        <v>0</v>
      </c>
      <c r="F420" s="336">
        <f t="shared" ca="1" si="87"/>
        <v>0</v>
      </c>
      <c r="G420" s="336">
        <f t="shared" ca="1" si="88"/>
        <v>0</v>
      </c>
      <c r="H420" s="336">
        <f t="shared" ca="1" si="89"/>
        <v>0</v>
      </c>
      <c r="I420" s="337">
        <f t="shared" ca="1" si="90"/>
        <v>0</v>
      </c>
    </row>
    <row r="421" spans="1:9">
      <c r="A421" s="335">
        <f t="shared" si="83"/>
        <v>404</v>
      </c>
      <c r="B421" s="340">
        <f t="shared" si="84"/>
        <v>58562</v>
      </c>
      <c r="C421" s="336">
        <f t="shared" ca="1" si="85"/>
        <v>0</v>
      </c>
      <c r="D421" s="335"/>
      <c r="E421" s="336">
        <f t="shared" si="86"/>
        <v>0</v>
      </c>
      <c r="F421" s="336">
        <f t="shared" ca="1" si="87"/>
        <v>0</v>
      </c>
      <c r="G421" s="336">
        <f t="shared" ca="1" si="88"/>
        <v>0</v>
      </c>
      <c r="H421" s="336">
        <f t="shared" ca="1" si="89"/>
        <v>0</v>
      </c>
      <c r="I421" s="337">
        <f t="shared" ca="1" si="90"/>
        <v>0</v>
      </c>
    </row>
    <row r="422" spans="1:9">
      <c r="A422" s="335">
        <f t="shared" si="83"/>
        <v>405</v>
      </c>
      <c r="B422" s="340">
        <f t="shared" si="84"/>
        <v>58593</v>
      </c>
      <c r="C422" s="336">
        <f t="shared" ca="1" si="85"/>
        <v>0</v>
      </c>
      <c r="D422" s="335"/>
      <c r="E422" s="336">
        <f t="shared" si="86"/>
        <v>0</v>
      </c>
      <c r="F422" s="336">
        <f t="shared" ca="1" si="87"/>
        <v>0</v>
      </c>
      <c r="G422" s="336">
        <f t="shared" ca="1" si="88"/>
        <v>0</v>
      </c>
      <c r="H422" s="336">
        <f t="shared" ca="1" si="89"/>
        <v>0</v>
      </c>
      <c r="I422" s="337">
        <f t="shared" ca="1" si="90"/>
        <v>0</v>
      </c>
    </row>
    <row r="423" spans="1:9">
      <c r="A423" s="335">
        <f t="shared" si="83"/>
        <v>406</v>
      </c>
      <c r="B423" s="340">
        <f t="shared" si="84"/>
        <v>58623</v>
      </c>
      <c r="C423" s="336">
        <f t="shared" ca="1" si="85"/>
        <v>0</v>
      </c>
      <c r="D423" s="335"/>
      <c r="E423" s="336">
        <f t="shared" si="86"/>
        <v>0</v>
      </c>
      <c r="F423" s="336">
        <f t="shared" ca="1" si="87"/>
        <v>0</v>
      </c>
      <c r="G423" s="336">
        <f t="shared" ca="1" si="88"/>
        <v>0</v>
      </c>
      <c r="H423" s="336">
        <f t="shared" ca="1" si="89"/>
        <v>0</v>
      </c>
      <c r="I423" s="337">
        <f t="shared" ca="1" si="90"/>
        <v>0</v>
      </c>
    </row>
    <row r="424" spans="1:9">
      <c r="A424" s="335">
        <f t="shared" si="83"/>
        <v>407</v>
      </c>
      <c r="B424" s="340">
        <f t="shared" si="84"/>
        <v>58654</v>
      </c>
      <c r="C424" s="336">
        <f t="shared" ca="1" si="85"/>
        <v>0</v>
      </c>
      <c r="D424" s="335"/>
      <c r="E424" s="336">
        <f t="shared" si="86"/>
        <v>0</v>
      </c>
      <c r="F424" s="336">
        <f t="shared" ca="1" si="87"/>
        <v>0</v>
      </c>
      <c r="G424" s="336">
        <f t="shared" ca="1" si="88"/>
        <v>0</v>
      </c>
      <c r="H424" s="336">
        <f t="shared" ca="1" si="89"/>
        <v>0</v>
      </c>
      <c r="I424" s="337">
        <f t="shared" ca="1" si="90"/>
        <v>0</v>
      </c>
    </row>
    <row r="425" spans="1:9">
      <c r="A425" s="335">
        <f t="shared" si="83"/>
        <v>408</v>
      </c>
      <c r="B425" s="340">
        <f t="shared" si="84"/>
        <v>58685</v>
      </c>
      <c r="C425" s="336">
        <f t="shared" ca="1" si="85"/>
        <v>0</v>
      </c>
      <c r="D425" s="335"/>
      <c r="E425" s="336">
        <f t="shared" ca="1" si="86"/>
        <v>0</v>
      </c>
      <c r="F425" s="336">
        <f t="shared" ca="1" si="87"/>
        <v>0</v>
      </c>
      <c r="G425" s="336">
        <f t="shared" ca="1" si="88"/>
        <v>0</v>
      </c>
      <c r="H425" s="336">
        <f t="shared" ca="1" si="89"/>
        <v>0</v>
      </c>
      <c r="I425" s="337">
        <f t="shared" ca="1" si="90"/>
        <v>0</v>
      </c>
    </row>
    <row r="426" spans="1:9">
      <c r="A426" s="335">
        <f t="shared" si="83"/>
        <v>409</v>
      </c>
      <c r="B426" s="340">
        <f t="shared" si="84"/>
        <v>58715</v>
      </c>
      <c r="C426" s="336">
        <f t="shared" ca="1" si="85"/>
        <v>0</v>
      </c>
      <c r="D426" s="335"/>
      <c r="E426" s="336">
        <f t="shared" si="86"/>
        <v>0</v>
      </c>
      <c r="F426" s="336">
        <f t="shared" ca="1" si="87"/>
        <v>0</v>
      </c>
      <c r="G426" s="336">
        <f t="shared" ca="1" si="88"/>
        <v>0</v>
      </c>
      <c r="H426" s="336">
        <f t="shared" ca="1" si="89"/>
        <v>0</v>
      </c>
      <c r="I426" s="337">
        <f t="shared" ca="1" si="90"/>
        <v>0</v>
      </c>
    </row>
    <row r="427" spans="1:9">
      <c r="A427" s="335">
        <f t="shared" si="83"/>
        <v>410</v>
      </c>
      <c r="B427" s="340">
        <f t="shared" si="84"/>
        <v>58746</v>
      </c>
      <c r="C427" s="336">
        <f t="shared" ca="1" si="85"/>
        <v>0</v>
      </c>
      <c r="D427" s="335"/>
      <c r="E427" s="336">
        <f t="shared" si="86"/>
        <v>0</v>
      </c>
      <c r="F427" s="336">
        <f t="shared" ca="1" si="87"/>
        <v>0</v>
      </c>
      <c r="G427" s="336">
        <f t="shared" ca="1" si="88"/>
        <v>0</v>
      </c>
      <c r="H427" s="336">
        <f t="shared" ca="1" si="89"/>
        <v>0</v>
      </c>
      <c r="I427" s="337">
        <f t="shared" ca="1" si="90"/>
        <v>0</v>
      </c>
    </row>
    <row r="428" spans="1:9">
      <c r="A428" s="335">
        <f t="shared" si="83"/>
        <v>411</v>
      </c>
      <c r="B428" s="340">
        <f t="shared" si="84"/>
        <v>58776</v>
      </c>
      <c r="C428" s="336">
        <f t="shared" ca="1" si="85"/>
        <v>0</v>
      </c>
      <c r="D428" s="335"/>
      <c r="E428" s="336">
        <f t="shared" si="86"/>
        <v>0</v>
      </c>
      <c r="F428" s="336">
        <f t="shared" ca="1" si="87"/>
        <v>0</v>
      </c>
      <c r="G428" s="336">
        <f t="shared" ca="1" si="88"/>
        <v>0</v>
      </c>
      <c r="H428" s="336">
        <f t="shared" ca="1" si="89"/>
        <v>0</v>
      </c>
      <c r="I428" s="337">
        <f t="shared" ca="1" si="90"/>
        <v>0</v>
      </c>
    </row>
    <row r="429" spans="1:9">
      <c r="A429" s="335">
        <f t="shared" si="83"/>
        <v>412</v>
      </c>
      <c r="B429" s="340">
        <f t="shared" si="84"/>
        <v>58807</v>
      </c>
      <c r="C429" s="336">
        <f t="shared" ca="1" si="85"/>
        <v>0</v>
      </c>
      <c r="D429" s="335"/>
      <c r="E429" s="336">
        <f t="shared" si="86"/>
        <v>0</v>
      </c>
      <c r="F429" s="336">
        <f t="shared" ca="1" si="87"/>
        <v>0</v>
      </c>
      <c r="G429" s="336">
        <f t="shared" ca="1" si="88"/>
        <v>0</v>
      </c>
      <c r="H429" s="336">
        <f t="shared" ca="1" si="89"/>
        <v>0</v>
      </c>
      <c r="I429" s="337">
        <f t="shared" ca="1" si="90"/>
        <v>0</v>
      </c>
    </row>
    <row r="430" spans="1:9">
      <c r="A430" s="335">
        <f t="shared" si="83"/>
        <v>413</v>
      </c>
      <c r="B430" s="340">
        <f t="shared" si="84"/>
        <v>58838</v>
      </c>
      <c r="C430" s="336">
        <f t="shared" ca="1" si="85"/>
        <v>0</v>
      </c>
      <c r="D430" s="335"/>
      <c r="E430" s="336">
        <f t="shared" si="86"/>
        <v>0</v>
      </c>
      <c r="F430" s="336">
        <f t="shared" ca="1" si="87"/>
        <v>0</v>
      </c>
      <c r="G430" s="336">
        <f t="shared" ca="1" si="88"/>
        <v>0</v>
      </c>
      <c r="H430" s="336">
        <f t="shared" ca="1" si="89"/>
        <v>0</v>
      </c>
      <c r="I430" s="337">
        <f t="shared" ca="1" si="90"/>
        <v>0</v>
      </c>
    </row>
    <row r="431" spans="1:9">
      <c r="A431" s="335">
        <f t="shared" si="83"/>
        <v>414</v>
      </c>
      <c r="B431" s="340">
        <f t="shared" si="84"/>
        <v>58866</v>
      </c>
      <c r="C431" s="336">
        <f t="shared" ca="1" si="85"/>
        <v>0</v>
      </c>
      <c r="D431" s="335"/>
      <c r="E431" s="336">
        <f t="shared" ca="1" si="86"/>
        <v>0</v>
      </c>
      <c r="F431" s="336">
        <f t="shared" ca="1" si="87"/>
        <v>0</v>
      </c>
      <c r="G431" s="336">
        <f t="shared" ca="1" si="88"/>
        <v>0</v>
      </c>
      <c r="H431" s="336">
        <f t="shared" ca="1" si="89"/>
        <v>0</v>
      </c>
      <c r="I431" s="337">
        <f t="shared" ca="1" si="90"/>
        <v>0</v>
      </c>
    </row>
    <row r="432" spans="1:9">
      <c r="A432" s="335">
        <f t="shared" si="83"/>
        <v>415</v>
      </c>
      <c r="B432" s="340">
        <f t="shared" si="84"/>
        <v>58897</v>
      </c>
      <c r="C432" s="336">
        <f t="shared" ca="1" si="85"/>
        <v>0</v>
      </c>
      <c r="D432" s="335"/>
      <c r="E432" s="336">
        <f t="shared" si="86"/>
        <v>0</v>
      </c>
      <c r="F432" s="336">
        <f t="shared" ca="1" si="87"/>
        <v>0</v>
      </c>
      <c r="G432" s="336">
        <f t="shared" ca="1" si="88"/>
        <v>0</v>
      </c>
      <c r="H432" s="336">
        <f t="shared" ca="1" si="89"/>
        <v>0</v>
      </c>
      <c r="I432" s="337">
        <f t="shared" ca="1" si="90"/>
        <v>0</v>
      </c>
    </row>
    <row r="433" spans="1:9">
      <c r="A433" s="335">
        <f t="shared" si="83"/>
        <v>416</v>
      </c>
      <c r="B433" s="340">
        <f t="shared" si="84"/>
        <v>58927</v>
      </c>
      <c r="C433" s="336">
        <f t="shared" ca="1" si="85"/>
        <v>0</v>
      </c>
      <c r="D433" s="335"/>
      <c r="E433" s="336">
        <f t="shared" si="86"/>
        <v>0</v>
      </c>
      <c r="F433" s="336">
        <f t="shared" ca="1" si="87"/>
        <v>0</v>
      </c>
      <c r="G433" s="336">
        <f t="shared" ca="1" si="88"/>
        <v>0</v>
      </c>
      <c r="H433" s="336">
        <f t="shared" ca="1" si="89"/>
        <v>0</v>
      </c>
      <c r="I433" s="337">
        <f t="shared" ca="1" si="90"/>
        <v>0</v>
      </c>
    </row>
    <row r="434" spans="1:9">
      <c r="A434" s="335">
        <f t="shared" si="83"/>
        <v>417</v>
      </c>
      <c r="B434" s="340">
        <f t="shared" si="84"/>
        <v>58958</v>
      </c>
      <c r="C434" s="336">
        <f t="shared" ca="1" si="85"/>
        <v>0</v>
      </c>
      <c r="D434" s="335"/>
      <c r="E434" s="336">
        <f t="shared" si="86"/>
        <v>0</v>
      </c>
      <c r="F434" s="336">
        <f t="shared" ca="1" si="87"/>
        <v>0</v>
      </c>
      <c r="G434" s="336">
        <f t="shared" ca="1" si="88"/>
        <v>0</v>
      </c>
      <c r="H434" s="336">
        <f t="shared" ca="1" si="89"/>
        <v>0</v>
      </c>
      <c r="I434" s="337">
        <f t="shared" ca="1" si="90"/>
        <v>0</v>
      </c>
    </row>
    <row r="435" spans="1:9">
      <c r="A435" s="335">
        <f t="shared" si="83"/>
        <v>418</v>
      </c>
      <c r="B435" s="340">
        <f t="shared" si="84"/>
        <v>58988</v>
      </c>
      <c r="C435" s="336">
        <f t="shared" ca="1" si="85"/>
        <v>0</v>
      </c>
      <c r="D435" s="335"/>
      <c r="E435" s="336">
        <f t="shared" si="86"/>
        <v>0</v>
      </c>
      <c r="F435" s="336">
        <f t="shared" ca="1" si="87"/>
        <v>0</v>
      </c>
      <c r="G435" s="336">
        <f t="shared" ca="1" si="88"/>
        <v>0</v>
      </c>
      <c r="H435" s="336">
        <f t="shared" ca="1" si="89"/>
        <v>0</v>
      </c>
      <c r="I435" s="337">
        <f t="shared" ca="1" si="90"/>
        <v>0</v>
      </c>
    </row>
    <row r="436" spans="1:9">
      <c r="A436" s="335">
        <f t="shared" si="83"/>
        <v>419</v>
      </c>
      <c r="B436" s="340">
        <f t="shared" si="84"/>
        <v>59019</v>
      </c>
      <c r="C436" s="336">
        <f t="shared" ca="1" si="85"/>
        <v>0</v>
      </c>
      <c r="D436" s="335"/>
      <c r="E436" s="336">
        <f t="shared" si="86"/>
        <v>0</v>
      </c>
      <c r="F436" s="336">
        <f t="shared" ca="1" si="87"/>
        <v>0</v>
      </c>
      <c r="G436" s="336">
        <f t="shared" ca="1" si="88"/>
        <v>0</v>
      </c>
      <c r="H436" s="336">
        <f t="shared" ca="1" si="89"/>
        <v>0</v>
      </c>
      <c r="I436" s="337">
        <f t="shared" ca="1" si="90"/>
        <v>0</v>
      </c>
    </row>
    <row r="437" spans="1:9">
      <c r="A437" s="335">
        <f t="shared" si="83"/>
        <v>420</v>
      </c>
      <c r="B437" s="340">
        <f t="shared" si="84"/>
        <v>59050</v>
      </c>
      <c r="C437" s="336">
        <f t="shared" ca="1" si="85"/>
        <v>0</v>
      </c>
      <c r="D437" s="335"/>
      <c r="E437" s="336">
        <f t="shared" ca="1" si="86"/>
        <v>0</v>
      </c>
      <c r="F437" s="336">
        <f t="shared" ca="1" si="87"/>
        <v>0</v>
      </c>
      <c r="G437" s="336">
        <f t="shared" ca="1" si="88"/>
        <v>0</v>
      </c>
      <c r="H437" s="336">
        <f t="shared" ca="1" si="89"/>
        <v>0</v>
      </c>
      <c r="I437" s="337">
        <f t="shared" ca="1" si="90"/>
        <v>0</v>
      </c>
    </row>
    <row r="438" spans="1:9">
      <c r="A438" s="335">
        <f t="shared" si="83"/>
        <v>421</v>
      </c>
      <c r="B438" s="340">
        <f t="shared" si="84"/>
        <v>59080</v>
      </c>
      <c r="C438" s="336">
        <f t="shared" ca="1" si="85"/>
        <v>0</v>
      </c>
      <c r="D438" s="335"/>
      <c r="E438" s="336">
        <f t="shared" si="86"/>
        <v>0</v>
      </c>
      <c r="F438" s="336">
        <f t="shared" ca="1" si="87"/>
        <v>0</v>
      </c>
      <c r="G438" s="336">
        <f t="shared" ca="1" si="88"/>
        <v>0</v>
      </c>
      <c r="H438" s="336">
        <f t="shared" ca="1" si="89"/>
        <v>0</v>
      </c>
      <c r="I438" s="337">
        <f t="shared" ca="1" si="90"/>
        <v>0</v>
      </c>
    </row>
    <row r="439" spans="1:9">
      <c r="A439" s="335">
        <f t="shared" si="83"/>
        <v>422</v>
      </c>
      <c r="B439" s="340">
        <f t="shared" si="84"/>
        <v>59111</v>
      </c>
      <c r="C439" s="336">
        <f t="shared" ca="1" si="85"/>
        <v>0</v>
      </c>
      <c r="D439" s="335"/>
      <c r="E439" s="336">
        <f t="shared" si="86"/>
        <v>0</v>
      </c>
      <c r="F439" s="336">
        <f t="shared" ca="1" si="87"/>
        <v>0</v>
      </c>
      <c r="G439" s="336">
        <f t="shared" ca="1" si="88"/>
        <v>0</v>
      </c>
      <c r="H439" s="336">
        <f t="shared" ca="1" si="89"/>
        <v>0</v>
      </c>
      <c r="I439" s="337">
        <f t="shared" ca="1" si="90"/>
        <v>0</v>
      </c>
    </row>
    <row r="440" spans="1:9">
      <c r="A440" s="335">
        <f t="shared" si="83"/>
        <v>423</v>
      </c>
      <c r="B440" s="340">
        <f t="shared" si="84"/>
        <v>59141</v>
      </c>
      <c r="C440" s="336">
        <f t="shared" ca="1" si="85"/>
        <v>0</v>
      </c>
      <c r="D440" s="335"/>
      <c r="E440" s="336">
        <f t="shared" si="86"/>
        <v>0</v>
      </c>
      <c r="F440" s="336">
        <f t="shared" ca="1" si="87"/>
        <v>0</v>
      </c>
      <c r="G440" s="336">
        <f t="shared" ca="1" si="88"/>
        <v>0</v>
      </c>
      <c r="H440" s="336">
        <f t="shared" ca="1" si="89"/>
        <v>0</v>
      </c>
      <c r="I440" s="337">
        <f t="shared" ca="1" si="90"/>
        <v>0</v>
      </c>
    </row>
    <row r="441" spans="1:9">
      <c r="A441" s="335">
        <f t="shared" si="83"/>
        <v>424</v>
      </c>
      <c r="B441" s="340">
        <f t="shared" si="84"/>
        <v>59172</v>
      </c>
      <c r="C441" s="336">
        <f t="shared" ca="1" si="85"/>
        <v>0</v>
      </c>
      <c r="D441" s="335"/>
      <c r="E441" s="336">
        <f t="shared" si="86"/>
        <v>0</v>
      </c>
      <c r="F441" s="336">
        <f t="shared" ca="1" si="87"/>
        <v>0</v>
      </c>
      <c r="G441" s="336">
        <f t="shared" ca="1" si="88"/>
        <v>0</v>
      </c>
      <c r="H441" s="336">
        <f t="shared" ca="1" si="89"/>
        <v>0</v>
      </c>
      <c r="I441" s="337">
        <f t="shared" ca="1" si="90"/>
        <v>0</v>
      </c>
    </row>
    <row r="442" spans="1:9">
      <c r="A442" s="335">
        <f t="shared" si="83"/>
        <v>425</v>
      </c>
      <c r="B442" s="340">
        <f t="shared" si="84"/>
        <v>59203</v>
      </c>
      <c r="C442" s="336">
        <f t="shared" ca="1" si="85"/>
        <v>0</v>
      </c>
      <c r="D442" s="335"/>
      <c r="E442" s="336">
        <f t="shared" si="86"/>
        <v>0</v>
      </c>
      <c r="F442" s="336">
        <f t="shared" ca="1" si="87"/>
        <v>0</v>
      </c>
      <c r="G442" s="336">
        <f t="shared" ca="1" si="88"/>
        <v>0</v>
      </c>
      <c r="H442" s="336">
        <f t="shared" ca="1" si="89"/>
        <v>0</v>
      </c>
      <c r="I442" s="337">
        <f t="shared" ca="1" si="90"/>
        <v>0</v>
      </c>
    </row>
    <row r="443" spans="1:9">
      <c r="A443" s="335">
        <f t="shared" si="83"/>
        <v>426</v>
      </c>
      <c r="B443" s="340">
        <f t="shared" si="84"/>
        <v>59231</v>
      </c>
      <c r="C443" s="336">
        <f t="shared" ca="1" si="85"/>
        <v>0</v>
      </c>
      <c r="D443" s="335"/>
      <c r="E443" s="336">
        <f t="shared" ca="1" si="86"/>
        <v>0</v>
      </c>
      <c r="F443" s="336">
        <f t="shared" ca="1" si="87"/>
        <v>0</v>
      </c>
      <c r="G443" s="336">
        <f t="shared" ca="1" si="88"/>
        <v>0</v>
      </c>
      <c r="H443" s="336">
        <f t="shared" ca="1" si="89"/>
        <v>0</v>
      </c>
      <c r="I443" s="337">
        <f t="shared" ca="1" si="90"/>
        <v>0</v>
      </c>
    </row>
    <row r="444" spans="1:9">
      <c r="A444" s="335">
        <f t="shared" si="83"/>
        <v>427</v>
      </c>
      <c r="B444" s="340">
        <f t="shared" si="84"/>
        <v>59262</v>
      </c>
      <c r="C444" s="336">
        <f t="shared" ca="1" si="85"/>
        <v>0</v>
      </c>
      <c r="D444" s="335"/>
      <c r="E444" s="336">
        <f t="shared" si="86"/>
        <v>0</v>
      </c>
      <c r="F444" s="336">
        <f t="shared" ca="1" si="87"/>
        <v>0</v>
      </c>
      <c r="G444" s="336">
        <f t="shared" ca="1" si="88"/>
        <v>0</v>
      </c>
      <c r="H444" s="336">
        <f t="shared" ca="1" si="89"/>
        <v>0</v>
      </c>
      <c r="I444" s="337">
        <f t="shared" ca="1" si="90"/>
        <v>0</v>
      </c>
    </row>
    <row r="445" spans="1:9">
      <c r="A445" s="335">
        <f t="shared" si="83"/>
        <v>428</v>
      </c>
      <c r="B445" s="340">
        <f t="shared" si="84"/>
        <v>59292</v>
      </c>
      <c r="C445" s="336">
        <f t="shared" ca="1" si="85"/>
        <v>0</v>
      </c>
      <c r="D445" s="335"/>
      <c r="E445" s="336">
        <f t="shared" si="86"/>
        <v>0</v>
      </c>
      <c r="F445" s="336">
        <f t="shared" ca="1" si="87"/>
        <v>0</v>
      </c>
      <c r="G445" s="336">
        <f t="shared" ca="1" si="88"/>
        <v>0</v>
      </c>
      <c r="H445" s="336">
        <f t="shared" ca="1" si="89"/>
        <v>0</v>
      </c>
      <c r="I445" s="337">
        <f t="shared" ca="1" si="90"/>
        <v>0</v>
      </c>
    </row>
    <row r="446" spans="1:9">
      <c r="A446" s="335">
        <f t="shared" si="83"/>
        <v>429</v>
      </c>
      <c r="B446" s="340">
        <f t="shared" si="84"/>
        <v>59323</v>
      </c>
      <c r="C446" s="336">
        <f t="shared" ca="1" si="85"/>
        <v>0</v>
      </c>
      <c r="D446" s="335"/>
      <c r="E446" s="336">
        <f t="shared" si="86"/>
        <v>0</v>
      </c>
      <c r="F446" s="336">
        <f t="shared" ca="1" si="87"/>
        <v>0</v>
      </c>
      <c r="G446" s="336">
        <f t="shared" ca="1" si="88"/>
        <v>0</v>
      </c>
      <c r="H446" s="336">
        <f t="shared" ca="1" si="89"/>
        <v>0</v>
      </c>
      <c r="I446" s="337">
        <f t="shared" ca="1" si="90"/>
        <v>0</v>
      </c>
    </row>
    <row r="447" spans="1:9">
      <c r="A447" s="335">
        <f t="shared" si="83"/>
        <v>430</v>
      </c>
      <c r="B447" s="340">
        <f t="shared" si="84"/>
        <v>59353</v>
      </c>
      <c r="C447" s="336">
        <f t="shared" ca="1" si="85"/>
        <v>0</v>
      </c>
      <c r="D447" s="335"/>
      <c r="E447" s="336">
        <f t="shared" si="86"/>
        <v>0</v>
      </c>
      <c r="F447" s="336">
        <f t="shared" ca="1" si="87"/>
        <v>0</v>
      </c>
      <c r="G447" s="336">
        <f t="shared" ca="1" si="88"/>
        <v>0</v>
      </c>
      <c r="H447" s="336">
        <f t="shared" ca="1" si="89"/>
        <v>0</v>
      </c>
      <c r="I447" s="337">
        <f t="shared" ca="1" si="90"/>
        <v>0</v>
      </c>
    </row>
    <row r="448" spans="1:9">
      <c r="A448" s="335">
        <f t="shared" si="83"/>
        <v>431</v>
      </c>
      <c r="B448" s="340">
        <f t="shared" si="84"/>
        <v>59384</v>
      </c>
      <c r="C448" s="336">
        <f t="shared" ca="1" si="85"/>
        <v>0</v>
      </c>
      <c r="D448" s="335"/>
      <c r="E448" s="336">
        <f t="shared" si="86"/>
        <v>0</v>
      </c>
      <c r="F448" s="336">
        <f t="shared" ca="1" si="87"/>
        <v>0</v>
      </c>
      <c r="G448" s="336">
        <f t="shared" ca="1" si="88"/>
        <v>0</v>
      </c>
      <c r="H448" s="336">
        <f t="shared" ca="1" si="89"/>
        <v>0</v>
      </c>
      <c r="I448" s="337">
        <f t="shared" ca="1" si="90"/>
        <v>0</v>
      </c>
    </row>
    <row r="449" spans="1:9">
      <c r="A449" s="335">
        <f t="shared" si="83"/>
        <v>432</v>
      </c>
      <c r="B449" s="340">
        <f t="shared" si="84"/>
        <v>59415</v>
      </c>
      <c r="C449" s="336">
        <f t="shared" ca="1" si="85"/>
        <v>0</v>
      </c>
      <c r="D449" s="335"/>
      <c r="E449" s="336">
        <f t="shared" ca="1" si="86"/>
        <v>0</v>
      </c>
      <c r="F449" s="336">
        <f t="shared" ca="1" si="87"/>
        <v>0</v>
      </c>
      <c r="G449" s="336">
        <f t="shared" ca="1" si="88"/>
        <v>0</v>
      </c>
      <c r="H449" s="336">
        <f t="shared" ca="1" si="89"/>
        <v>0</v>
      </c>
      <c r="I449" s="337">
        <f t="shared" ca="1" si="90"/>
        <v>0</v>
      </c>
    </row>
    <row r="450" spans="1:9">
      <c r="A450" s="335">
        <f t="shared" si="83"/>
        <v>433</v>
      </c>
      <c r="B450" s="340">
        <f t="shared" si="84"/>
        <v>59445</v>
      </c>
      <c r="C450" s="336">
        <f t="shared" ca="1" si="85"/>
        <v>0</v>
      </c>
      <c r="D450" s="335"/>
      <c r="E450" s="336">
        <f t="shared" si="86"/>
        <v>0</v>
      </c>
      <c r="F450" s="336">
        <f t="shared" ca="1" si="87"/>
        <v>0</v>
      </c>
      <c r="G450" s="336">
        <f t="shared" ca="1" si="88"/>
        <v>0</v>
      </c>
      <c r="H450" s="336">
        <f t="shared" ca="1" si="89"/>
        <v>0</v>
      </c>
      <c r="I450" s="337">
        <f t="shared" ca="1" si="90"/>
        <v>0</v>
      </c>
    </row>
    <row r="451" spans="1:9">
      <c r="A451" s="335">
        <f t="shared" si="83"/>
        <v>434</v>
      </c>
      <c r="B451" s="340">
        <f t="shared" si="84"/>
        <v>59476</v>
      </c>
      <c r="C451" s="336">
        <f t="shared" ca="1" si="85"/>
        <v>0</v>
      </c>
      <c r="D451" s="335"/>
      <c r="E451" s="336">
        <f t="shared" si="86"/>
        <v>0</v>
      </c>
      <c r="F451" s="336">
        <f t="shared" ca="1" si="87"/>
        <v>0</v>
      </c>
      <c r="G451" s="336">
        <f t="shared" ca="1" si="88"/>
        <v>0</v>
      </c>
      <c r="H451" s="336">
        <f t="shared" ca="1" si="89"/>
        <v>0</v>
      </c>
      <c r="I451" s="337">
        <f t="shared" ca="1" si="90"/>
        <v>0</v>
      </c>
    </row>
    <row r="452" spans="1:9">
      <c r="A452" s="335">
        <f t="shared" si="83"/>
        <v>435</v>
      </c>
      <c r="B452" s="340">
        <f t="shared" si="84"/>
        <v>59506</v>
      </c>
      <c r="C452" s="336">
        <f t="shared" ca="1" si="85"/>
        <v>0</v>
      </c>
      <c r="D452" s="335"/>
      <c r="E452" s="336">
        <f t="shared" si="86"/>
        <v>0</v>
      </c>
      <c r="F452" s="336">
        <f t="shared" ca="1" si="87"/>
        <v>0</v>
      </c>
      <c r="G452" s="336">
        <f t="shared" ca="1" si="88"/>
        <v>0</v>
      </c>
      <c r="H452" s="336">
        <f t="shared" ca="1" si="89"/>
        <v>0</v>
      </c>
      <c r="I452" s="337">
        <f t="shared" ca="1" si="90"/>
        <v>0</v>
      </c>
    </row>
    <row r="453" spans="1:9">
      <c r="A453" s="335">
        <f t="shared" si="83"/>
        <v>436</v>
      </c>
      <c r="B453" s="340">
        <f t="shared" si="84"/>
        <v>59537</v>
      </c>
      <c r="C453" s="336">
        <f t="shared" ca="1" si="85"/>
        <v>0</v>
      </c>
      <c r="D453" s="335"/>
      <c r="E453" s="336">
        <f t="shared" si="86"/>
        <v>0</v>
      </c>
      <c r="F453" s="336">
        <f t="shared" ca="1" si="87"/>
        <v>0</v>
      </c>
      <c r="G453" s="336">
        <f t="shared" ca="1" si="88"/>
        <v>0</v>
      </c>
      <c r="H453" s="336">
        <f t="shared" ca="1" si="89"/>
        <v>0</v>
      </c>
      <c r="I453" s="337">
        <f t="shared" ca="1" si="90"/>
        <v>0</v>
      </c>
    </row>
    <row r="454" spans="1:9">
      <c r="A454" s="335">
        <f t="shared" si="83"/>
        <v>437</v>
      </c>
      <c r="B454" s="340">
        <f t="shared" si="84"/>
        <v>59568</v>
      </c>
      <c r="C454" s="336">
        <f t="shared" ca="1" si="85"/>
        <v>0</v>
      </c>
      <c r="D454" s="335"/>
      <c r="E454" s="336">
        <f t="shared" si="86"/>
        <v>0</v>
      </c>
      <c r="F454" s="336">
        <f t="shared" ca="1" si="87"/>
        <v>0</v>
      </c>
      <c r="G454" s="336">
        <f t="shared" ca="1" si="88"/>
        <v>0</v>
      </c>
      <c r="H454" s="336">
        <f t="shared" ca="1" si="89"/>
        <v>0</v>
      </c>
      <c r="I454" s="337">
        <f t="shared" ca="1" si="90"/>
        <v>0</v>
      </c>
    </row>
    <row r="455" spans="1:9">
      <c r="A455" s="335">
        <f t="shared" si="83"/>
        <v>438</v>
      </c>
      <c r="B455" s="340">
        <f t="shared" si="84"/>
        <v>59596</v>
      </c>
      <c r="C455" s="336">
        <f t="shared" ca="1" si="85"/>
        <v>0</v>
      </c>
      <c r="D455" s="335"/>
      <c r="E455" s="336">
        <f t="shared" ca="1" si="86"/>
        <v>0</v>
      </c>
      <c r="F455" s="336">
        <f t="shared" ca="1" si="87"/>
        <v>0</v>
      </c>
      <c r="G455" s="336">
        <f t="shared" ca="1" si="88"/>
        <v>0</v>
      </c>
      <c r="H455" s="336">
        <f t="shared" ca="1" si="89"/>
        <v>0</v>
      </c>
      <c r="I455" s="337">
        <f t="shared" ca="1" si="90"/>
        <v>0</v>
      </c>
    </row>
    <row r="456" spans="1:9">
      <c r="A456" s="335">
        <f t="shared" si="83"/>
        <v>439</v>
      </c>
      <c r="B456" s="340">
        <f t="shared" si="84"/>
        <v>59627</v>
      </c>
      <c r="C456" s="336">
        <f t="shared" ca="1" si="85"/>
        <v>0</v>
      </c>
      <c r="D456" s="335"/>
      <c r="E456" s="336">
        <f t="shared" si="86"/>
        <v>0</v>
      </c>
      <c r="F456" s="336">
        <f t="shared" ca="1" si="87"/>
        <v>0</v>
      </c>
      <c r="G456" s="336">
        <f t="shared" ca="1" si="88"/>
        <v>0</v>
      </c>
      <c r="H456" s="336">
        <f t="shared" ca="1" si="89"/>
        <v>0</v>
      </c>
      <c r="I456" s="337">
        <f t="shared" ca="1" si="90"/>
        <v>0</v>
      </c>
    </row>
    <row r="457" spans="1:9">
      <c r="A457" s="335">
        <f t="shared" si="83"/>
        <v>440</v>
      </c>
      <c r="B457" s="340">
        <f t="shared" si="84"/>
        <v>59657</v>
      </c>
      <c r="C457" s="336">
        <f t="shared" ca="1" si="85"/>
        <v>0</v>
      </c>
      <c r="D457" s="335"/>
      <c r="E457" s="336">
        <f t="shared" si="86"/>
        <v>0</v>
      </c>
      <c r="F457" s="336">
        <f t="shared" ca="1" si="87"/>
        <v>0</v>
      </c>
      <c r="G457" s="336">
        <f t="shared" ca="1" si="88"/>
        <v>0</v>
      </c>
      <c r="H457" s="336">
        <f t="shared" ca="1" si="89"/>
        <v>0</v>
      </c>
      <c r="I457" s="337">
        <f t="shared" ca="1" si="90"/>
        <v>0</v>
      </c>
    </row>
    <row r="458" spans="1:9">
      <c r="A458" s="335">
        <f t="shared" si="83"/>
        <v>441</v>
      </c>
      <c r="B458" s="340">
        <f t="shared" si="84"/>
        <v>59688</v>
      </c>
      <c r="C458" s="336">
        <f t="shared" ca="1" si="85"/>
        <v>0</v>
      </c>
      <c r="D458" s="335"/>
      <c r="E458" s="336">
        <f t="shared" si="86"/>
        <v>0</v>
      </c>
      <c r="F458" s="336">
        <f t="shared" ca="1" si="87"/>
        <v>0</v>
      </c>
      <c r="G458" s="336">
        <f t="shared" ca="1" si="88"/>
        <v>0</v>
      </c>
      <c r="H458" s="336">
        <f t="shared" ca="1" si="89"/>
        <v>0</v>
      </c>
      <c r="I458" s="337">
        <f t="shared" ca="1" si="90"/>
        <v>0</v>
      </c>
    </row>
    <row r="459" spans="1:9">
      <c r="A459" s="335">
        <f t="shared" si="83"/>
        <v>442</v>
      </c>
      <c r="B459" s="340">
        <f t="shared" si="84"/>
        <v>59718</v>
      </c>
      <c r="C459" s="336">
        <f t="shared" ca="1" si="85"/>
        <v>0</v>
      </c>
      <c r="D459" s="335"/>
      <c r="E459" s="336">
        <f t="shared" si="86"/>
        <v>0</v>
      </c>
      <c r="F459" s="336">
        <f t="shared" ca="1" si="87"/>
        <v>0</v>
      </c>
      <c r="G459" s="336">
        <f t="shared" ca="1" si="88"/>
        <v>0</v>
      </c>
      <c r="H459" s="336">
        <f t="shared" ca="1" si="89"/>
        <v>0</v>
      </c>
      <c r="I459" s="337">
        <f t="shared" ca="1" si="90"/>
        <v>0</v>
      </c>
    </row>
    <row r="460" spans="1:9">
      <c r="A460" s="335">
        <f t="shared" si="83"/>
        <v>443</v>
      </c>
      <c r="B460" s="340">
        <f t="shared" si="84"/>
        <v>59749</v>
      </c>
      <c r="C460" s="336">
        <f t="shared" ca="1" si="85"/>
        <v>0</v>
      </c>
      <c r="D460" s="335"/>
      <c r="E460" s="336">
        <f t="shared" si="86"/>
        <v>0</v>
      </c>
      <c r="F460" s="336">
        <f t="shared" ca="1" si="87"/>
        <v>0</v>
      </c>
      <c r="G460" s="336">
        <f t="shared" ca="1" si="88"/>
        <v>0</v>
      </c>
      <c r="H460" s="336">
        <f t="shared" ca="1" si="89"/>
        <v>0</v>
      </c>
      <c r="I460" s="337">
        <f t="shared" ca="1" si="90"/>
        <v>0</v>
      </c>
    </row>
    <row r="461" spans="1:9">
      <c r="A461" s="335">
        <f t="shared" si="83"/>
        <v>444</v>
      </c>
      <c r="B461" s="340">
        <f t="shared" si="84"/>
        <v>59780</v>
      </c>
      <c r="C461" s="336">
        <f t="shared" ca="1" si="85"/>
        <v>0</v>
      </c>
      <c r="D461" s="335"/>
      <c r="E461" s="336">
        <f t="shared" ca="1" si="86"/>
        <v>0</v>
      </c>
      <c r="F461" s="336">
        <f t="shared" ca="1" si="87"/>
        <v>0</v>
      </c>
      <c r="G461" s="336">
        <f t="shared" ca="1" si="88"/>
        <v>0</v>
      </c>
      <c r="H461" s="336">
        <f t="shared" ca="1" si="89"/>
        <v>0</v>
      </c>
      <c r="I461" s="337">
        <f t="shared" ca="1" si="90"/>
        <v>0</v>
      </c>
    </row>
    <row r="462" spans="1:9">
      <c r="A462" s="335">
        <f t="shared" si="83"/>
        <v>445</v>
      </c>
      <c r="B462" s="340">
        <f t="shared" si="84"/>
        <v>59810</v>
      </c>
      <c r="C462" s="336">
        <f t="shared" ca="1" si="85"/>
        <v>0</v>
      </c>
      <c r="D462" s="335"/>
      <c r="E462" s="336">
        <f t="shared" si="86"/>
        <v>0</v>
      </c>
      <c r="F462" s="336">
        <f t="shared" ca="1" si="87"/>
        <v>0</v>
      </c>
      <c r="G462" s="336">
        <f t="shared" ca="1" si="88"/>
        <v>0</v>
      </c>
      <c r="H462" s="336">
        <f t="shared" ca="1" si="89"/>
        <v>0</v>
      </c>
      <c r="I462" s="337">
        <f t="shared" ca="1" si="90"/>
        <v>0</v>
      </c>
    </row>
    <row r="463" spans="1:9">
      <c r="A463" s="335">
        <f t="shared" si="83"/>
        <v>446</v>
      </c>
      <c r="B463" s="340">
        <f t="shared" si="84"/>
        <v>59841</v>
      </c>
      <c r="C463" s="336">
        <f t="shared" ca="1" si="85"/>
        <v>0</v>
      </c>
      <c r="D463" s="335"/>
      <c r="E463" s="336">
        <f t="shared" si="86"/>
        <v>0</v>
      </c>
      <c r="F463" s="336">
        <f t="shared" ca="1" si="87"/>
        <v>0</v>
      </c>
      <c r="G463" s="336">
        <f t="shared" ca="1" si="88"/>
        <v>0</v>
      </c>
      <c r="H463" s="336">
        <f t="shared" ca="1" si="89"/>
        <v>0</v>
      </c>
      <c r="I463" s="337">
        <f t="shared" ca="1" si="90"/>
        <v>0</v>
      </c>
    </row>
    <row r="464" spans="1:9">
      <c r="A464" s="335">
        <f t="shared" si="83"/>
        <v>447</v>
      </c>
      <c r="B464" s="340">
        <f t="shared" si="84"/>
        <v>59871</v>
      </c>
      <c r="C464" s="336">
        <f t="shared" ca="1" si="85"/>
        <v>0</v>
      </c>
      <c r="D464" s="335"/>
      <c r="E464" s="336">
        <f t="shared" si="86"/>
        <v>0</v>
      </c>
      <c r="F464" s="336">
        <f t="shared" ca="1" si="87"/>
        <v>0</v>
      </c>
      <c r="G464" s="336">
        <f t="shared" ca="1" si="88"/>
        <v>0</v>
      </c>
      <c r="H464" s="336">
        <f t="shared" ca="1" si="89"/>
        <v>0</v>
      </c>
      <c r="I464" s="337">
        <f t="shared" ca="1" si="90"/>
        <v>0</v>
      </c>
    </row>
    <row r="465" spans="1:9">
      <c r="A465" s="335">
        <f t="shared" si="83"/>
        <v>448</v>
      </c>
      <c r="B465" s="340">
        <f t="shared" si="84"/>
        <v>59902</v>
      </c>
      <c r="C465" s="336">
        <f t="shared" ca="1" si="85"/>
        <v>0</v>
      </c>
      <c r="D465" s="335"/>
      <c r="E465" s="336">
        <f t="shared" si="86"/>
        <v>0</v>
      </c>
      <c r="F465" s="336">
        <f t="shared" ca="1" si="87"/>
        <v>0</v>
      </c>
      <c r="G465" s="336">
        <f t="shared" ca="1" si="88"/>
        <v>0</v>
      </c>
      <c r="H465" s="336">
        <f t="shared" ca="1" si="89"/>
        <v>0</v>
      </c>
      <c r="I465" s="337">
        <f t="shared" ca="1" si="90"/>
        <v>0</v>
      </c>
    </row>
    <row r="466" spans="1:9">
      <c r="A466" s="335">
        <f t="shared" si="83"/>
        <v>449</v>
      </c>
      <c r="B466" s="340">
        <f t="shared" si="84"/>
        <v>59933</v>
      </c>
      <c r="C466" s="336">
        <f t="shared" ca="1" si="85"/>
        <v>0</v>
      </c>
      <c r="D466" s="335"/>
      <c r="E466" s="336">
        <f t="shared" si="86"/>
        <v>0</v>
      </c>
      <c r="F466" s="336">
        <f t="shared" ca="1" si="87"/>
        <v>0</v>
      </c>
      <c r="G466" s="336">
        <f t="shared" ca="1" si="88"/>
        <v>0</v>
      </c>
      <c r="H466" s="336">
        <f t="shared" ca="1" si="89"/>
        <v>0</v>
      </c>
      <c r="I466" s="337">
        <f t="shared" ca="1" si="90"/>
        <v>0</v>
      </c>
    </row>
    <row r="467" spans="1:9">
      <c r="A467" s="335">
        <f t="shared" ref="A467:A497" si="91">IF(A466="","",IF(A466=$D$6,"",A466+1))</f>
        <v>450</v>
      </c>
      <c r="B467" s="340">
        <f t="shared" si="84"/>
        <v>59962</v>
      </c>
      <c r="C467" s="336">
        <f t="shared" ca="1" si="85"/>
        <v>0</v>
      </c>
      <c r="D467" s="335"/>
      <c r="E467" s="336">
        <f t="shared" ca="1" si="86"/>
        <v>0</v>
      </c>
      <c r="F467" s="336">
        <f t="shared" ca="1" si="87"/>
        <v>0</v>
      </c>
      <c r="G467" s="336">
        <f t="shared" ca="1" si="88"/>
        <v>0</v>
      </c>
      <c r="H467" s="336">
        <f t="shared" ca="1" si="89"/>
        <v>0</v>
      </c>
      <c r="I467" s="337">
        <f t="shared" ca="1" si="90"/>
        <v>0</v>
      </c>
    </row>
    <row r="468" spans="1:9">
      <c r="A468" s="335">
        <f t="shared" si="91"/>
        <v>451</v>
      </c>
      <c r="B468" s="340">
        <f t="shared" ref="B468:B497" si="92">DATE(YEAR(B467),MONTH(B467)+1,1)</f>
        <v>59993</v>
      </c>
      <c r="C468" s="336">
        <f t="shared" ca="1" si="85"/>
        <v>0</v>
      </c>
      <c r="D468" s="335"/>
      <c r="E468" s="336">
        <f t="shared" si="86"/>
        <v>0</v>
      </c>
      <c r="F468" s="336">
        <f t="shared" ca="1" si="87"/>
        <v>0</v>
      </c>
      <c r="G468" s="336">
        <f t="shared" ca="1" si="88"/>
        <v>0</v>
      </c>
      <c r="H468" s="336">
        <f t="shared" ca="1" si="89"/>
        <v>0</v>
      </c>
      <c r="I468" s="337">
        <f t="shared" ca="1" si="90"/>
        <v>0</v>
      </c>
    </row>
    <row r="469" spans="1:9">
      <c r="A469" s="335">
        <f t="shared" si="91"/>
        <v>452</v>
      </c>
      <c r="B469" s="340">
        <f t="shared" si="92"/>
        <v>60023</v>
      </c>
      <c r="C469" s="336">
        <f t="shared" ca="1" si="85"/>
        <v>0</v>
      </c>
      <c r="D469" s="335"/>
      <c r="E469" s="336">
        <f t="shared" si="86"/>
        <v>0</v>
      </c>
      <c r="F469" s="336">
        <f t="shared" ca="1" si="87"/>
        <v>0</v>
      </c>
      <c r="G469" s="336">
        <f t="shared" ca="1" si="88"/>
        <v>0</v>
      </c>
      <c r="H469" s="336">
        <f t="shared" ca="1" si="89"/>
        <v>0</v>
      </c>
      <c r="I469" s="337">
        <f t="shared" ca="1" si="90"/>
        <v>0</v>
      </c>
    </row>
    <row r="470" spans="1:9">
      <c r="A470" s="335">
        <f t="shared" si="91"/>
        <v>453</v>
      </c>
      <c r="B470" s="340">
        <f t="shared" si="92"/>
        <v>60054</v>
      </c>
      <c r="C470" s="336">
        <f t="shared" ca="1" si="85"/>
        <v>0</v>
      </c>
      <c r="D470" s="335"/>
      <c r="E470" s="336">
        <f t="shared" si="86"/>
        <v>0</v>
      </c>
      <c r="F470" s="336">
        <f t="shared" ca="1" si="87"/>
        <v>0</v>
      </c>
      <c r="G470" s="336">
        <f t="shared" ca="1" si="88"/>
        <v>0</v>
      </c>
      <c r="H470" s="336">
        <f t="shared" ca="1" si="89"/>
        <v>0</v>
      </c>
      <c r="I470" s="337">
        <f t="shared" ca="1" si="90"/>
        <v>0</v>
      </c>
    </row>
    <row r="471" spans="1:9">
      <c r="A471" s="335">
        <f t="shared" si="91"/>
        <v>454</v>
      </c>
      <c r="B471" s="340">
        <f t="shared" si="92"/>
        <v>60084</v>
      </c>
      <c r="C471" s="336">
        <f t="shared" ca="1" si="85"/>
        <v>0</v>
      </c>
      <c r="D471" s="335"/>
      <c r="E471" s="336">
        <f t="shared" si="86"/>
        <v>0</v>
      </c>
      <c r="F471" s="336">
        <f t="shared" ca="1" si="87"/>
        <v>0</v>
      </c>
      <c r="G471" s="336">
        <f t="shared" ca="1" si="88"/>
        <v>0</v>
      </c>
      <c r="H471" s="336">
        <f t="shared" ca="1" si="89"/>
        <v>0</v>
      </c>
      <c r="I471" s="337">
        <f t="shared" ca="1" si="90"/>
        <v>0</v>
      </c>
    </row>
    <row r="472" spans="1:9">
      <c r="A472" s="335">
        <f t="shared" si="91"/>
        <v>455</v>
      </c>
      <c r="B472" s="340">
        <f t="shared" si="92"/>
        <v>60115</v>
      </c>
      <c r="C472" s="336">
        <f t="shared" ca="1" si="85"/>
        <v>0</v>
      </c>
      <c r="D472" s="335"/>
      <c r="E472" s="336">
        <f t="shared" si="86"/>
        <v>0</v>
      </c>
      <c r="F472" s="336">
        <f t="shared" ca="1" si="87"/>
        <v>0</v>
      </c>
      <c r="G472" s="336">
        <f t="shared" ca="1" si="88"/>
        <v>0</v>
      </c>
      <c r="H472" s="336">
        <f t="shared" ca="1" si="89"/>
        <v>0</v>
      </c>
      <c r="I472" s="337">
        <f t="shared" ca="1" si="90"/>
        <v>0</v>
      </c>
    </row>
    <row r="473" spans="1:9">
      <c r="A473" s="335">
        <f t="shared" si="91"/>
        <v>456</v>
      </c>
      <c r="B473" s="340">
        <f t="shared" si="92"/>
        <v>60146</v>
      </c>
      <c r="C473" s="336">
        <f t="shared" ca="1" si="85"/>
        <v>0</v>
      </c>
      <c r="D473" s="335"/>
      <c r="E473" s="336">
        <f t="shared" ca="1" si="86"/>
        <v>0</v>
      </c>
      <c r="F473" s="336">
        <f t="shared" ca="1" si="87"/>
        <v>0</v>
      </c>
      <c r="G473" s="336">
        <f t="shared" ca="1" si="88"/>
        <v>0</v>
      </c>
      <c r="H473" s="336">
        <f t="shared" ca="1" si="89"/>
        <v>0</v>
      </c>
      <c r="I473" s="337">
        <f t="shared" ca="1" si="90"/>
        <v>0</v>
      </c>
    </row>
    <row r="474" spans="1:9">
      <c r="A474" s="335">
        <f t="shared" si="91"/>
        <v>457</v>
      </c>
      <c r="B474" s="340">
        <f t="shared" si="92"/>
        <v>60176</v>
      </c>
      <c r="C474" s="336">
        <f t="shared" ca="1" si="85"/>
        <v>0</v>
      </c>
      <c r="D474" s="335"/>
      <c r="E474" s="336">
        <f t="shared" si="86"/>
        <v>0</v>
      </c>
      <c r="F474" s="336">
        <f t="shared" ca="1" si="87"/>
        <v>0</v>
      </c>
      <c r="G474" s="336">
        <f t="shared" ca="1" si="88"/>
        <v>0</v>
      </c>
      <c r="H474" s="336">
        <f t="shared" ca="1" si="89"/>
        <v>0</v>
      </c>
      <c r="I474" s="337">
        <f t="shared" ca="1" si="90"/>
        <v>0</v>
      </c>
    </row>
    <row r="475" spans="1:9">
      <c r="A475" s="335">
        <f t="shared" si="91"/>
        <v>458</v>
      </c>
      <c r="B475" s="340">
        <f t="shared" si="92"/>
        <v>60207</v>
      </c>
      <c r="C475" s="336">
        <f t="shared" ca="1" si="85"/>
        <v>0</v>
      </c>
      <c r="D475" s="335"/>
      <c r="E475" s="336">
        <f t="shared" si="86"/>
        <v>0</v>
      </c>
      <c r="F475" s="336">
        <f t="shared" ca="1" si="87"/>
        <v>0</v>
      </c>
      <c r="G475" s="336">
        <f t="shared" ca="1" si="88"/>
        <v>0</v>
      </c>
      <c r="H475" s="336">
        <f t="shared" ca="1" si="89"/>
        <v>0</v>
      </c>
      <c r="I475" s="337">
        <f t="shared" ca="1" si="90"/>
        <v>0</v>
      </c>
    </row>
    <row r="476" spans="1:9">
      <c r="A476" s="335">
        <f t="shared" si="91"/>
        <v>459</v>
      </c>
      <c r="B476" s="340">
        <f t="shared" si="92"/>
        <v>60237</v>
      </c>
      <c r="C476" s="336">
        <f t="shared" ca="1" si="85"/>
        <v>0</v>
      </c>
      <c r="D476" s="335"/>
      <c r="E476" s="336">
        <f t="shared" si="86"/>
        <v>0</v>
      </c>
      <c r="F476" s="336">
        <f t="shared" ca="1" si="87"/>
        <v>0</v>
      </c>
      <c r="G476" s="336">
        <f t="shared" ca="1" si="88"/>
        <v>0</v>
      </c>
      <c r="H476" s="336">
        <f t="shared" ca="1" si="89"/>
        <v>0</v>
      </c>
      <c r="I476" s="337">
        <f t="shared" ca="1" si="90"/>
        <v>0</v>
      </c>
    </row>
    <row r="477" spans="1:9">
      <c r="A477" s="335">
        <f t="shared" si="91"/>
        <v>460</v>
      </c>
      <c r="B477" s="340">
        <f t="shared" si="92"/>
        <v>60268</v>
      </c>
      <c r="C477" s="336">
        <f t="shared" ca="1" si="85"/>
        <v>0</v>
      </c>
      <c r="D477" s="335"/>
      <c r="E477" s="336">
        <f t="shared" si="86"/>
        <v>0</v>
      </c>
      <c r="F477" s="336">
        <f t="shared" ca="1" si="87"/>
        <v>0</v>
      </c>
      <c r="G477" s="336">
        <f t="shared" ca="1" si="88"/>
        <v>0</v>
      </c>
      <c r="H477" s="336">
        <f t="shared" ca="1" si="89"/>
        <v>0</v>
      </c>
      <c r="I477" s="337">
        <f t="shared" ca="1" si="90"/>
        <v>0</v>
      </c>
    </row>
    <row r="478" spans="1:9">
      <c r="A478" s="335">
        <f t="shared" si="91"/>
        <v>461</v>
      </c>
      <c r="B478" s="340">
        <f t="shared" si="92"/>
        <v>60299</v>
      </c>
      <c r="C478" s="336">
        <f t="shared" ca="1" si="85"/>
        <v>0</v>
      </c>
      <c r="D478" s="335"/>
      <c r="E478" s="336">
        <f t="shared" si="86"/>
        <v>0</v>
      </c>
      <c r="F478" s="336">
        <f t="shared" ca="1" si="87"/>
        <v>0</v>
      </c>
      <c r="G478" s="336">
        <f t="shared" ca="1" si="88"/>
        <v>0</v>
      </c>
      <c r="H478" s="336">
        <f t="shared" ca="1" si="89"/>
        <v>0</v>
      </c>
      <c r="I478" s="337">
        <f t="shared" ca="1" si="90"/>
        <v>0</v>
      </c>
    </row>
    <row r="479" spans="1:9">
      <c r="A479" s="335">
        <f t="shared" si="91"/>
        <v>462</v>
      </c>
      <c r="B479" s="340">
        <f t="shared" si="92"/>
        <v>60327</v>
      </c>
      <c r="C479" s="336">
        <f t="shared" ca="1" si="85"/>
        <v>0</v>
      </c>
      <c r="D479" s="335"/>
      <c r="E479" s="336">
        <f t="shared" ca="1" si="86"/>
        <v>0</v>
      </c>
      <c r="F479" s="336">
        <f t="shared" ca="1" si="87"/>
        <v>0</v>
      </c>
      <c r="G479" s="336">
        <f t="shared" ca="1" si="88"/>
        <v>0</v>
      </c>
      <c r="H479" s="336">
        <f t="shared" ca="1" si="89"/>
        <v>0</v>
      </c>
      <c r="I479" s="337">
        <f t="shared" ca="1" si="90"/>
        <v>0</v>
      </c>
    </row>
    <row r="480" spans="1:9">
      <c r="A480" s="335">
        <f t="shared" si="91"/>
        <v>463</v>
      </c>
      <c r="B480" s="340">
        <f t="shared" si="92"/>
        <v>60358</v>
      </c>
      <c r="C480" s="336">
        <f t="shared" ca="1" si="85"/>
        <v>0</v>
      </c>
      <c r="D480" s="335"/>
      <c r="E480" s="336">
        <f t="shared" si="86"/>
        <v>0</v>
      </c>
      <c r="F480" s="336">
        <f t="shared" ca="1" si="87"/>
        <v>0</v>
      </c>
      <c r="G480" s="336">
        <f t="shared" ca="1" si="88"/>
        <v>0</v>
      </c>
      <c r="H480" s="336">
        <f t="shared" ca="1" si="89"/>
        <v>0</v>
      </c>
      <c r="I480" s="337">
        <f t="shared" ca="1" si="90"/>
        <v>0</v>
      </c>
    </row>
    <row r="481" spans="1:9">
      <c r="A481" s="335">
        <f t="shared" si="91"/>
        <v>464</v>
      </c>
      <c r="B481" s="340">
        <f t="shared" si="92"/>
        <v>60388</v>
      </c>
      <c r="C481" s="336">
        <f t="shared" ca="1" si="85"/>
        <v>0</v>
      </c>
      <c r="D481" s="335"/>
      <c r="E481" s="336">
        <f t="shared" si="86"/>
        <v>0</v>
      </c>
      <c r="F481" s="336">
        <f t="shared" ca="1" si="87"/>
        <v>0</v>
      </c>
      <c r="G481" s="336">
        <f t="shared" ca="1" si="88"/>
        <v>0</v>
      </c>
      <c r="H481" s="336">
        <f t="shared" ca="1" si="89"/>
        <v>0</v>
      </c>
      <c r="I481" s="337">
        <f t="shared" ca="1" si="90"/>
        <v>0</v>
      </c>
    </row>
    <row r="482" spans="1:9">
      <c r="A482" s="335">
        <f t="shared" si="91"/>
        <v>465</v>
      </c>
      <c r="B482" s="340">
        <f t="shared" si="92"/>
        <v>60419</v>
      </c>
      <c r="C482" s="336">
        <f t="shared" ref="C482:C497" ca="1" si="93">IF(H481=0,0,H481)</f>
        <v>0</v>
      </c>
      <c r="D482" s="335"/>
      <c r="E482" s="336">
        <f t="shared" ref="E482:E497" si="94">IF($D$10=1,IF(OR(MONTH(B482)=MONTH(EDATE($D$7,0)),MONTH(B482)=MONTH(EDATE($D$7,6))),(MIN($D$305,H481)),0),IF($D$10=0,IF(OR(MONTH(B482)=MONTH(EDATE($D$7,5)),MONTH(B482)=MONTH(EDATE($D$7,11))),(MIN($D$305,H481)),0)))</f>
        <v>0</v>
      </c>
      <c r="F482" s="336">
        <f t="shared" ref="F482:F497" ca="1" si="95">IF(E482="","",E482-G482)</f>
        <v>0</v>
      </c>
      <c r="G482" s="336">
        <f t="shared" ref="G482:G497" ca="1" si="96">ROUND((C482-E482)*$D$5,3)</f>
        <v>0</v>
      </c>
      <c r="H482" s="336">
        <f t="shared" ref="H482:H497" ca="1" si="97">IF(E482="","",ROUND(H481-F482,4))</f>
        <v>0</v>
      </c>
      <c r="I482" s="337">
        <f t="shared" ref="I482:I497" ca="1" si="98">ROUND((D482-H482),0)</f>
        <v>0</v>
      </c>
    </row>
    <row r="483" spans="1:9">
      <c r="A483" s="335">
        <f t="shared" si="91"/>
        <v>466</v>
      </c>
      <c r="B483" s="340">
        <f t="shared" si="92"/>
        <v>60449</v>
      </c>
      <c r="C483" s="336">
        <f t="shared" ca="1" si="93"/>
        <v>0</v>
      </c>
      <c r="D483" s="335"/>
      <c r="E483" s="336">
        <f t="shared" si="94"/>
        <v>0</v>
      </c>
      <c r="F483" s="336">
        <f t="shared" ca="1" si="95"/>
        <v>0</v>
      </c>
      <c r="G483" s="336">
        <f t="shared" ca="1" si="96"/>
        <v>0</v>
      </c>
      <c r="H483" s="336">
        <f t="shared" ca="1" si="97"/>
        <v>0</v>
      </c>
      <c r="I483" s="337">
        <f t="shared" ca="1" si="98"/>
        <v>0</v>
      </c>
    </row>
    <row r="484" spans="1:9">
      <c r="A484" s="335">
        <f t="shared" si="91"/>
        <v>467</v>
      </c>
      <c r="B484" s="340">
        <f t="shared" si="92"/>
        <v>60480</v>
      </c>
      <c r="C484" s="336">
        <f t="shared" ca="1" si="93"/>
        <v>0</v>
      </c>
      <c r="D484" s="335"/>
      <c r="E484" s="336">
        <f t="shared" si="94"/>
        <v>0</v>
      </c>
      <c r="F484" s="336">
        <f t="shared" ca="1" si="95"/>
        <v>0</v>
      </c>
      <c r="G484" s="336">
        <f t="shared" ca="1" si="96"/>
        <v>0</v>
      </c>
      <c r="H484" s="336">
        <f t="shared" ca="1" si="97"/>
        <v>0</v>
      </c>
      <c r="I484" s="337">
        <f t="shared" ca="1" si="98"/>
        <v>0</v>
      </c>
    </row>
    <row r="485" spans="1:9">
      <c r="A485" s="335">
        <f t="shared" si="91"/>
        <v>468</v>
      </c>
      <c r="B485" s="340">
        <f t="shared" si="92"/>
        <v>60511</v>
      </c>
      <c r="C485" s="336">
        <f t="shared" ca="1" si="93"/>
        <v>0</v>
      </c>
      <c r="D485" s="335"/>
      <c r="E485" s="336">
        <f t="shared" ca="1" si="94"/>
        <v>0</v>
      </c>
      <c r="F485" s="336">
        <f t="shared" ca="1" si="95"/>
        <v>0</v>
      </c>
      <c r="G485" s="336">
        <f t="shared" ca="1" si="96"/>
        <v>0</v>
      </c>
      <c r="H485" s="336">
        <f t="shared" ca="1" si="97"/>
        <v>0</v>
      </c>
      <c r="I485" s="337">
        <f t="shared" ca="1" si="98"/>
        <v>0</v>
      </c>
    </row>
    <row r="486" spans="1:9">
      <c r="A486" s="335">
        <f t="shared" si="91"/>
        <v>469</v>
      </c>
      <c r="B486" s="340">
        <f t="shared" si="92"/>
        <v>60541</v>
      </c>
      <c r="C486" s="336">
        <f t="shared" ca="1" si="93"/>
        <v>0</v>
      </c>
      <c r="D486" s="335"/>
      <c r="E486" s="336">
        <f t="shared" si="94"/>
        <v>0</v>
      </c>
      <c r="F486" s="336">
        <f t="shared" ca="1" si="95"/>
        <v>0</v>
      </c>
      <c r="G486" s="336">
        <f t="shared" ca="1" si="96"/>
        <v>0</v>
      </c>
      <c r="H486" s="336">
        <f t="shared" ca="1" si="97"/>
        <v>0</v>
      </c>
      <c r="I486" s="337">
        <f t="shared" ca="1" si="98"/>
        <v>0</v>
      </c>
    </row>
    <row r="487" spans="1:9">
      <c r="A487" s="335">
        <f t="shared" si="91"/>
        <v>470</v>
      </c>
      <c r="B487" s="340">
        <f t="shared" si="92"/>
        <v>60572</v>
      </c>
      <c r="C487" s="336">
        <f t="shared" ca="1" si="93"/>
        <v>0</v>
      </c>
      <c r="D487" s="335"/>
      <c r="E487" s="336">
        <f t="shared" si="94"/>
        <v>0</v>
      </c>
      <c r="F487" s="336">
        <f t="shared" ca="1" si="95"/>
        <v>0</v>
      </c>
      <c r="G487" s="336">
        <f t="shared" ca="1" si="96"/>
        <v>0</v>
      </c>
      <c r="H487" s="336">
        <f t="shared" ca="1" si="97"/>
        <v>0</v>
      </c>
      <c r="I487" s="337">
        <f t="shared" ca="1" si="98"/>
        <v>0</v>
      </c>
    </row>
    <row r="488" spans="1:9">
      <c r="A488" s="335">
        <f t="shared" si="91"/>
        <v>471</v>
      </c>
      <c r="B488" s="340">
        <f t="shared" si="92"/>
        <v>60602</v>
      </c>
      <c r="C488" s="336">
        <f t="shared" ca="1" si="93"/>
        <v>0</v>
      </c>
      <c r="D488" s="335"/>
      <c r="E488" s="336">
        <f t="shared" si="94"/>
        <v>0</v>
      </c>
      <c r="F488" s="336">
        <f t="shared" ca="1" si="95"/>
        <v>0</v>
      </c>
      <c r="G488" s="336">
        <f t="shared" ca="1" si="96"/>
        <v>0</v>
      </c>
      <c r="H488" s="336">
        <f t="shared" ca="1" si="97"/>
        <v>0</v>
      </c>
      <c r="I488" s="337">
        <f t="shared" ca="1" si="98"/>
        <v>0</v>
      </c>
    </row>
    <row r="489" spans="1:9">
      <c r="A489" s="335">
        <f t="shared" si="91"/>
        <v>472</v>
      </c>
      <c r="B489" s="340">
        <f t="shared" si="92"/>
        <v>60633</v>
      </c>
      <c r="C489" s="336">
        <f t="shared" ca="1" si="93"/>
        <v>0</v>
      </c>
      <c r="D489" s="335"/>
      <c r="E489" s="336">
        <f t="shared" si="94"/>
        <v>0</v>
      </c>
      <c r="F489" s="336">
        <f t="shared" ca="1" si="95"/>
        <v>0</v>
      </c>
      <c r="G489" s="336">
        <f t="shared" ca="1" si="96"/>
        <v>0</v>
      </c>
      <c r="H489" s="336">
        <f t="shared" ca="1" si="97"/>
        <v>0</v>
      </c>
      <c r="I489" s="337">
        <f t="shared" ca="1" si="98"/>
        <v>0</v>
      </c>
    </row>
    <row r="490" spans="1:9">
      <c r="A490" s="335">
        <f t="shared" si="91"/>
        <v>473</v>
      </c>
      <c r="B490" s="340">
        <f t="shared" si="92"/>
        <v>60664</v>
      </c>
      <c r="C490" s="336">
        <f t="shared" ca="1" si="93"/>
        <v>0</v>
      </c>
      <c r="D490" s="335"/>
      <c r="E490" s="336">
        <f t="shared" si="94"/>
        <v>0</v>
      </c>
      <c r="F490" s="336">
        <f t="shared" ca="1" si="95"/>
        <v>0</v>
      </c>
      <c r="G490" s="336">
        <f t="shared" ca="1" si="96"/>
        <v>0</v>
      </c>
      <c r="H490" s="336">
        <f t="shared" ca="1" si="97"/>
        <v>0</v>
      </c>
      <c r="I490" s="337">
        <f t="shared" ca="1" si="98"/>
        <v>0</v>
      </c>
    </row>
    <row r="491" spans="1:9">
      <c r="A491" s="335">
        <f t="shared" si="91"/>
        <v>474</v>
      </c>
      <c r="B491" s="340">
        <f t="shared" si="92"/>
        <v>60692</v>
      </c>
      <c r="C491" s="336">
        <f t="shared" ca="1" si="93"/>
        <v>0</v>
      </c>
      <c r="D491" s="335"/>
      <c r="E491" s="336">
        <f t="shared" ca="1" si="94"/>
        <v>0</v>
      </c>
      <c r="F491" s="336">
        <f t="shared" ca="1" si="95"/>
        <v>0</v>
      </c>
      <c r="G491" s="336">
        <f t="shared" ca="1" si="96"/>
        <v>0</v>
      </c>
      <c r="H491" s="336">
        <f t="shared" ca="1" si="97"/>
        <v>0</v>
      </c>
      <c r="I491" s="337">
        <f t="shared" ca="1" si="98"/>
        <v>0</v>
      </c>
    </row>
    <row r="492" spans="1:9">
      <c r="A492" s="335">
        <f t="shared" si="91"/>
        <v>475</v>
      </c>
      <c r="B492" s="340">
        <f t="shared" si="92"/>
        <v>60723</v>
      </c>
      <c r="C492" s="336">
        <f t="shared" ca="1" si="93"/>
        <v>0</v>
      </c>
      <c r="D492" s="335"/>
      <c r="E492" s="336">
        <f t="shared" si="94"/>
        <v>0</v>
      </c>
      <c r="F492" s="336">
        <f t="shared" ca="1" si="95"/>
        <v>0</v>
      </c>
      <c r="G492" s="336">
        <f t="shared" ca="1" si="96"/>
        <v>0</v>
      </c>
      <c r="H492" s="336">
        <f t="shared" ca="1" si="97"/>
        <v>0</v>
      </c>
      <c r="I492" s="337">
        <f t="shared" ca="1" si="98"/>
        <v>0</v>
      </c>
    </row>
    <row r="493" spans="1:9">
      <c r="A493" s="335">
        <f t="shared" si="91"/>
        <v>476</v>
      </c>
      <c r="B493" s="340">
        <f t="shared" si="92"/>
        <v>60753</v>
      </c>
      <c r="C493" s="336">
        <f t="shared" ca="1" si="93"/>
        <v>0</v>
      </c>
      <c r="D493" s="335"/>
      <c r="E493" s="336">
        <f t="shared" si="94"/>
        <v>0</v>
      </c>
      <c r="F493" s="336">
        <f t="shared" ca="1" si="95"/>
        <v>0</v>
      </c>
      <c r="G493" s="336">
        <f t="shared" ca="1" si="96"/>
        <v>0</v>
      </c>
      <c r="H493" s="336">
        <f t="shared" ca="1" si="97"/>
        <v>0</v>
      </c>
      <c r="I493" s="337">
        <f t="shared" ca="1" si="98"/>
        <v>0</v>
      </c>
    </row>
    <row r="494" spans="1:9">
      <c r="A494" s="335">
        <f t="shared" si="91"/>
        <v>477</v>
      </c>
      <c r="B494" s="340">
        <f t="shared" si="92"/>
        <v>60784</v>
      </c>
      <c r="C494" s="336">
        <f t="shared" ca="1" si="93"/>
        <v>0</v>
      </c>
      <c r="D494" s="335"/>
      <c r="E494" s="336">
        <f t="shared" si="94"/>
        <v>0</v>
      </c>
      <c r="F494" s="336">
        <f t="shared" ca="1" si="95"/>
        <v>0</v>
      </c>
      <c r="G494" s="336">
        <f t="shared" ca="1" si="96"/>
        <v>0</v>
      </c>
      <c r="H494" s="336">
        <f t="shared" ca="1" si="97"/>
        <v>0</v>
      </c>
      <c r="I494" s="337">
        <f t="shared" ca="1" si="98"/>
        <v>0</v>
      </c>
    </row>
    <row r="495" spans="1:9">
      <c r="A495" s="335">
        <f t="shared" si="91"/>
        <v>478</v>
      </c>
      <c r="B495" s="340">
        <f t="shared" si="92"/>
        <v>60814</v>
      </c>
      <c r="C495" s="336">
        <f t="shared" ca="1" si="93"/>
        <v>0</v>
      </c>
      <c r="D495" s="335"/>
      <c r="E495" s="336">
        <f t="shared" si="94"/>
        <v>0</v>
      </c>
      <c r="F495" s="336">
        <f t="shared" ca="1" si="95"/>
        <v>0</v>
      </c>
      <c r="G495" s="336">
        <f t="shared" ca="1" si="96"/>
        <v>0</v>
      </c>
      <c r="H495" s="336">
        <f t="shared" ca="1" si="97"/>
        <v>0</v>
      </c>
      <c r="I495" s="337">
        <f t="shared" ca="1" si="98"/>
        <v>0</v>
      </c>
    </row>
    <row r="496" spans="1:9">
      <c r="A496" s="335">
        <f t="shared" si="91"/>
        <v>479</v>
      </c>
      <c r="B496" s="340">
        <f t="shared" si="92"/>
        <v>60845</v>
      </c>
      <c r="C496" s="336">
        <f t="shared" ca="1" si="93"/>
        <v>0</v>
      </c>
      <c r="D496" s="335"/>
      <c r="E496" s="336">
        <f t="shared" si="94"/>
        <v>0</v>
      </c>
      <c r="F496" s="336">
        <f t="shared" ca="1" si="95"/>
        <v>0</v>
      </c>
      <c r="G496" s="336">
        <f t="shared" ca="1" si="96"/>
        <v>0</v>
      </c>
      <c r="H496" s="336">
        <f t="shared" ca="1" si="97"/>
        <v>0</v>
      </c>
      <c r="I496" s="337">
        <f t="shared" ca="1" si="98"/>
        <v>0</v>
      </c>
    </row>
    <row r="497" spans="1:9">
      <c r="A497" s="335">
        <f t="shared" si="91"/>
        <v>480</v>
      </c>
      <c r="B497" s="340">
        <f t="shared" si="92"/>
        <v>60876</v>
      </c>
      <c r="C497" s="336">
        <f t="shared" ca="1" si="93"/>
        <v>0</v>
      </c>
      <c r="D497" s="335"/>
      <c r="E497" s="336">
        <f t="shared" ca="1" si="94"/>
        <v>0</v>
      </c>
      <c r="F497" s="336">
        <f t="shared" ca="1" si="95"/>
        <v>0</v>
      </c>
      <c r="G497" s="336">
        <f t="shared" ca="1" si="96"/>
        <v>0</v>
      </c>
      <c r="H497" s="336">
        <f t="shared" ca="1" si="97"/>
        <v>0</v>
      </c>
      <c r="I497" s="337">
        <f t="shared" ca="1" si="98"/>
        <v>0</v>
      </c>
    </row>
    <row r="498" spans="1:9">
      <c r="H498" s="94" cm="1">
        <f t="array" aca="1" ref="H498" ca="1">INDEX(A17:A497,MATCH(TRUE,INDEX(I17:I497&gt;=0,),0))</f>
        <v>204</v>
      </c>
    </row>
  </sheetData>
  <mergeCells count="11">
    <mergeCell ref="A10:C10"/>
    <mergeCell ref="A1:H1"/>
    <mergeCell ref="A4:C4"/>
    <mergeCell ref="A5:C5"/>
    <mergeCell ref="A6:C6"/>
    <mergeCell ref="A7:C7"/>
    <mergeCell ref="A11:C11"/>
    <mergeCell ref="A12:C12"/>
    <mergeCell ref="A13:C13"/>
    <mergeCell ref="A14:C14"/>
    <mergeCell ref="A15:C15"/>
  </mergeCells>
  <pageMargins left="0.75" right="0.5" top="0.5" bottom="0.5" header="0.5" footer="0.5"/>
  <pageSetup orientation="portrait" horizontalDpi="4294967292" verticalDpi="429496729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V497"/>
  <sheetViews>
    <sheetView showGridLines="0" zoomScale="89" zoomScaleNormal="89" zoomScalePageLayoutView="125" workbookViewId="0">
      <pane ySplit="16" topLeftCell="A25" activePane="bottomLeft" state="frozenSplit"/>
      <selection activeCell="L42" sqref="L42"/>
      <selection pane="bottomLeft" activeCell="L42" sqref="L42"/>
    </sheetView>
  </sheetViews>
  <sheetFormatPr baseColWidth="10" defaultColWidth="8.83203125" defaultRowHeight="13"/>
  <cols>
    <col min="1" max="1" width="6.33203125" style="341" customWidth="1"/>
    <col min="2" max="2" width="12.5" style="341" customWidth="1"/>
    <col min="3" max="3" width="16.5" style="341" customWidth="1"/>
    <col min="4" max="4" width="15.5" style="341" customWidth="1"/>
    <col min="5" max="5" width="17" style="341" customWidth="1"/>
    <col min="6" max="6" width="16" style="341" customWidth="1"/>
    <col min="7" max="7" width="15" style="341" customWidth="1"/>
    <col min="8" max="8" width="21" style="341" customWidth="1"/>
    <col min="9" max="9" width="15" style="306" customWidth="1"/>
    <col min="10" max="10" width="8.33203125" style="307" customWidth="1"/>
    <col min="11" max="12" width="17.33203125" style="307" customWidth="1"/>
    <col min="13" max="13" width="14.33203125" style="307" customWidth="1"/>
    <col min="14" max="14" width="13" style="307" customWidth="1"/>
    <col min="15" max="15" width="13" style="307" bestFit="1" customWidth="1"/>
    <col min="16" max="16" width="8.83203125" style="307" customWidth="1"/>
    <col min="17" max="17" width="10.5" style="307" customWidth="1"/>
    <col min="18" max="253" width="8.83203125" style="307"/>
    <col min="254" max="254" width="4.5" style="307" customWidth="1"/>
    <col min="255" max="255" width="12.5" style="307" customWidth="1"/>
    <col min="256" max="256" width="11.83203125" style="307" customWidth="1"/>
    <col min="257" max="257" width="12.83203125" style="307" customWidth="1"/>
    <col min="258" max="258" width="11" style="307" customWidth="1"/>
    <col min="259" max="259" width="11.5" style="307" customWidth="1"/>
    <col min="260" max="261" width="11.33203125" style="307" customWidth="1"/>
    <col min="262" max="262" width="13.5" style="307" customWidth="1"/>
    <col min="263" max="509" width="8.83203125" style="307"/>
    <col min="510" max="510" width="4.5" style="307" customWidth="1"/>
    <col min="511" max="511" width="12.5" style="307" customWidth="1"/>
    <col min="512" max="512" width="11.83203125" style="307" customWidth="1"/>
    <col min="513" max="513" width="12.83203125" style="307" customWidth="1"/>
    <col min="514" max="514" width="11" style="307" customWidth="1"/>
    <col min="515" max="515" width="11.5" style="307" customWidth="1"/>
    <col min="516" max="517" width="11.33203125" style="307" customWidth="1"/>
    <col min="518" max="518" width="13.5" style="307" customWidth="1"/>
    <col min="519" max="765" width="8.83203125" style="307"/>
    <col min="766" max="766" width="4.5" style="307" customWidth="1"/>
    <col min="767" max="767" width="12.5" style="307" customWidth="1"/>
    <col min="768" max="768" width="11.83203125" style="307" customWidth="1"/>
    <col min="769" max="769" width="12.83203125" style="307" customWidth="1"/>
    <col min="770" max="770" width="11" style="307" customWidth="1"/>
    <col min="771" max="771" width="11.5" style="307" customWidth="1"/>
    <col min="772" max="773" width="11.33203125" style="307" customWidth="1"/>
    <col min="774" max="774" width="13.5" style="307" customWidth="1"/>
    <col min="775" max="1021" width="8.83203125" style="307"/>
    <col min="1022" max="1022" width="4.5" style="307" customWidth="1"/>
    <col min="1023" max="1023" width="12.5" style="307" customWidth="1"/>
    <col min="1024" max="1024" width="11.83203125" style="307" customWidth="1"/>
    <col min="1025" max="1025" width="12.83203125" style="307" customWidth="1"/>
    <col min="1026" max="1026" width="11" style="307" customWidth="1"/>
    <col min="1027" max="1027" width="11.5" style="307" customWidth="1"/>
    <col min="1028" max="1029" width="11.33203125" style="307" customWidth="1"/>
    <col min="1030" max="1030" width="13.5" style="307" customWidth="1"/>
    <col min="1031" max="1277" width="8.83203125" style="307"/>
    <col min="1278" max="1278" width="4.5" style="307" customWidth="1"/>
    <col min="1279" max="1279" width="12.5" style="307" customWidth="1"/>
    <col min="1280" max="1280" width="11.83203125" style="307" customWidth="1"/>
    <col min="1281" max="1281" width="12.83203125" style="307" customWidth="1"/>
    <col min="1282" max="1282" width="11" style="307" customWidth="1"/>
    <col min="1283" max="1283" width="11.5" style="307" customWidth="1"/>
    <col min="1284" max="1285" width="11.33203125" style="307" customWidth="1"/>
    <col min="1286" max="1286" width="13.5" style="307" customWidth="1"/>
    <col min="1287" max="1533" width="8.83203125" style="307"/>
    <col min="1534" max="1534" width="4.5" style="307" customWidth="1"/>
    <col min="1535" max="1535" width="12.5" style="307" customWidth="1"/>
    <col min="1536" max="1536" width="11.83203125" style="307" customWidth="1"/>
    <col min="1537" max="1537" width="12.83203125" style="307" customWidth="1"/>
    <col min="1538" max="1538" width="11" style="307" customWidth="1"/>
    <col min="1539" max="1539" width="11.5" style="307" customWidth="1"/>
    <col min="1540" max="1541" width="11.33203125" style="307" customWidth="1"/>
    <col min="1542" max="1542" width="13.5" style="307" customWidth="1"/>
    <col min="1543" max="1789" width="8.83203125" style="307"/>
    <col min="1790" max="1790" width="4.5" style="307" customWidth="1"/>
    <col min="1791" max="1791" width="12.5" style="307" customWidth="1"/>
    <col min="1792" max="1792" width="11.83203125" style="307" customWidth="1"/>
    <col min="1793" max="1793" width="12.83203125" style="307" customWidth="1"/>
    <col min="1794" max="1794" width="11" style="307" customWidth="1"/>
    <col min="1795" max="1795" width="11.5" style="307" customWidth="1"/>
    <col min="1796" max="1797" width="11.33203125" style="307" customWidth="1"/>
    <col min="1798" max="1798" width="13.5" style="307" customWidth="1"/>
    <col min="1799" max="2045" width="8.83203125" style="307"/>
    <col min="2046" max="2046" width="4.5" style="307" customWidth="1"/>
    <col min="2047" max="2047" width="12.5" style="307" customWidth="1"/>
    <col min="2048" max="2048" width="11.83203125" style="307" customWidth="1"/>
    <col min="2049" max="2049" width="12.83203125" style="307" customWidth="1"/>
    <col min="2050" max="2050" width="11" style="307" customWidth="1"/>
    <col min="2051" max="2051" width="11.5" style="307" customWidth="1"/>
    <col min="2052" max="2053" width="11.33203125" style="307" customWidth="1"/>
    <col min="2054" max="2054" width="13.5" style="307" customWidth="1"/>
    <col min="2055" max="2301" width="8.83203125" style="307"/>
    <col min="2302" max="2302" width="4.5" style="307" customWidth="1"/>
    <col min="2303" max="2303" width="12.5" style="307" customWidth="1"/>
    <col min="2304" max="2304" width="11.83203125" style="307" customWidth="1"/>
    <col min="2305" max="2305" width="12.83203125" style="307" customWidth="1"/>
    <col min="2306" max="2306" width="11" style="307" customWidth="1"/>
    <col min="2307" max="2307" width="11.5" style="307" customWidth="1"/>
    <col min="2308" max="2309" width="11.33203125" style="307" customWidth="1"/>
    <col min="2310" max="2310" width="13.5" style="307" customWidth="1"/>
    <col min="2311" max="2557" width="8.83203125" style="307"/>
    <col min="2558" max="2558" width="4.5" style="307" customWidth="1"/>
    <col min="2559" max="2559" width="12.5" style="307" customWidth="1"/>
    <col min="2560" max="2560" width="11.83203125" style="307" customWidth="1"/>
    <col min="2561" max="2561" width="12.83203125" style="307" customWidth="1"/>
    <col min="2562" max="2562" width="11" style="307" customWidth="1"/>
    <col min="2563" max="2563" width="11.5" style="307" customWidth="1"/>
    <col min="2564" max="2565" width="11.33203125" style="307" customWidth="1"/>
    <col min="2566" max="2566" width="13.5" style="307" customWidth="1"/>
    <col min="2567" max="2813" width="8.83203125" style="307"/>
    <col min="2814" max="2814" width="4.5" style="307" customWidth="1"/>
    <col min="2815" max="2815" width="12.5" style="307" customWidth="1"/>
    <col min="2816" max="2816" width="11.83203125" style="307" customWidth="1"/>
    <col min="2817" max="2817" width="12.83203125" style="307" customWidth="1"/>
    <col min="2818" max="2818" width="11" style="307" customWidth="1"/>
    <col min="2819" max="2819" width="11.5" style="307" customWidth="1"/>
    <col min="2820" max="2821" width="11.33203125" style="307" customWidth="1"/>
    <col min="2822" max="2822" width="13.5" style="307" customWidth="1"/>
    <col min="2823" max="3069" width="8.83203125" style="307"/>
    <col min="3070" max="3070" width="4.5" style="307" customWidth="1"/>
    <col min="3071" max="3071" width="12.5" style="307" customWidth="1"/>
    <col min="3072" max="3072" width="11.83203125" style="307" customWidth="1"/>
    <col min="3073" max="3073" width="12.83203125" style="307" customWidth="1"/>
    <col min="3074" max="3074" width="11" style="307" customWidth="1"/>
    <col min="3075" max="3075" width="11.5" style="307" customWidth="1"/>
    <col min="3076" max="3077" width="11.33203125" style="307" customWidth="1"/>
    <col min="3078" max="3078" width="13.5" style="307" customWidth="1"/>
    <col min="3079" max="3325" width="8.83203125" style="307"/>
    <col min="3326" max="3326" width="4.5" style="307" customWidth="1"/>
    <col min="3327" max="3327" width="12.5" style="307" customWidth="1"/>
    <col min="3328" max="3328" width="11.83203125" style="307" customWidth="1"/>
    <col min="3329" max="3329" width="12.83203125" style="307" customWidth="1"/>
    <col min="3330" max="3330" width="11" style="307" customWidth="1"/>
    <col min="3331" max="3331" width="11.5" style="307" customWidth="1"/>
    <col min="3332" max="3333" width="11.33203125" style="307" customWidth="1"/>
    <col min="3334" max="3334" width="13.5" style="307" customWidth="1"/>
    <col min="3335" max="3581" width="8.83203125" style="307"/>
    <col min="3582" max="3582" width="4.5" style="307" customWidth="1"/>
    <col min="3583" max="3583" width="12.5" style="307" customWidth="1"/>
    <col min="3584" max="3584" width="11.83203125" style="307" customWidth="1"/>
    <col min="3585" max="3585" width="12.83203125" style="307" customWidth="1"/>
    <col min="3586" max="3586" width="11" style="307" customWidth="1"/>
    <col min="3587" max="3587" width="11.5" style="307" customWidth="1"/>
    <col min="3588" max="3589" width="11.33203125" style="307" customWidth="1"/>
    <col min="3590" max="3590" width="13.5" style="307" customWidth="1"/>
    <col min="3591" max="3837" width="8.83203125" style="307"/>
    <col min="3838" max="3838" width="4.5" style="307" customWidth="1"/>
    <col min="3839" max="3839" width="12.5" style="307" customWidth="1"/>
    <col min="3840" max="3840" width="11.83203125" style="307" customWidth="1"/>
    <col min="3841" max="3841" width="12.83203125" style="307" customWidth="1"/>
    <col min="3842" max="3842" width="11" style="307" customWidth="1"/>
    <col min="3843" max="3843" width="11.5" style="307" customWidth="1"/>
    <col min="3844" max="3845" width="11.33203125" style="307" customWidth="1"/>
    <col min="3846" max="3846" width="13.5" style="307" customWidth="1"/>
    <col min="3847" max="4093" width="8.83203125" style="307"/>
    <col min="4094" max="4094" width="4.5" style="307" customWidth="1"/>
    <col min="4095" max="4095" width="12.5" style="307" customWidth="1"/>
    <col min="4096" max="4096" width="11.83203125" style="307" customWidth="1"/>
    <col min="4097" max="4097" width="12.83203125" style="307" customWidth="1"/>
    <col min="4098" max="4098" width="11" style="307" customWidth="1"/>
    <col min="4099" max="4099" width="11.5" style="307" customWidth="1"/>
    <col min="4100" max="4101" width="11.33203125" style="307" customWidth="1"/>
    <col min="4102" max="4102" width="13.5" style="307" customWidth="1"/>
    <col min="4103" max="4349" width="8.83203125" style="307"/>
    <col min="4350" max="4350" width="4.5" style="307" customWidth="1"/>
    <col min="4351" max="4351" width="12.5" style="307" customWidth="1"/>
    <col min="4352" max="4352" width="11.83203125" style="307" customWidth="1"/>
    <col min="4353" max="4353" width="12.83203125" style="307" customWidth="1"/>
    <col min="4354" max="4354" width="11" style="307" customWidth="1"/>
    <col min="4355" max="4355" width="11.5" style="307" customWidth="1"/>
    <col min="4356" max="4357" width="11.33203125" style="307" customWidth="1"/>
    <col min="4358" max="4358" width="13.5" style="307" customWidth="1"/>
    <col min="4359" max="4605" width="8.83203125" style="307"/>
    <col min="4606" max="4606" width="4.5" style="307" customWidth="1"/>
    <col min="4607" max="4607" width="12.5" style="307" customWidth="1"/>
    <col min="4608" max="4608" width="11.83203125" style="307" customWidth="1"/>
    <col min="4609" max="4609" width="12.83203125" style="307" customWidth="1"/>
    <col min="4610" max="4610" width="11" style="307" customWidth="1"/>
    <col min="4611" max="4611" width="11.5" style="307" customWidth="1"/>
    <col min="4612" max="4613" width="11.33203125" style="307" customWidth="1"/>
    <col min="4614" max="4614" width="13.5" style="307" customWidth="1"/>
    <col min="4615" max="4861" width="8.83203125" style="307"/>
    <col min="4862" max="4862" width="4.5" style="307" customWidth="1"/>
    <col min="4863" max="4863" width="12.5" style="307" customWidth="1"/>
    <col min="4864" max="4864" width="11.83203125" style="307" customWidth="1"/>
    <col min="4865" max="4865" width="12.83203125" style="307" customWidth="1"/>
    <col min="4866" max="4866" width="11" style="307" customWidth="1"/>
    <col min="4867" max="4867" width="11.5" style="307" customWidth="1"/>
    <col min="4868" max="4869" width="11.33203125" style="307" customWidth="1"/>
    <col min="4870" max="4870" width="13.5" style="307" customWidth="1"/>
    <col min="4871" max="5117" width="8.83203125" style="307"/>
    <col min="5118" max="5118" width="4.5" style="307" customWidth="1"/>
    <col min="5119" max="5119" width="12.5" style="307" customWidth="1"/>
    <col min="5120" max="5120" width="11.83203125" style="307" customWidth="1"/>
    <col min="5121" max="5121" width="12.83203125" style="307" customWidth="1"/>
    <col min="5122" max="5122" width="11" style="307" customWidth="1"/>
    <col min="5123" max="5123" width="11.5" style="307" customWidth="1"/>
    <col min="5124" max="5125" width="11.33203125" style="307" customWidth="1"/>
    <col min="5126" max="5126" width="13.5" style="307" customWidth="1"/>
    <col min="5127" max="5373" width="8.83203125" style="307"/>
    <col min="5374" max="5374" width="4.5" style="307" customWidth="1"/>
    <col min="5375" max="5375" width="12.5" style="307" customWidth="1"/>
    <col min="5376" max="5376" width="11.83203125" style="307" customWidth="1"/>
    <col min="5377" max="5377" width="12.83203125" style="307" customWidth="1"/>
    <col min="5378" max="5378" width="11" style="307" customWidth="1"/>
    <col min="5379" max="5379" width="11.5" style="307" customWidth="1"/>
    <col min="5380" max="5381" width="11.33203125" style="307" customWidth="1"/>
    <col min="5382" max="5382" width="13.5" style="307" customWidth="1"/>
    <col min="5383" max="5629" width="8.83203125" style="307"/>
    <col min="5630" max="5630" width="4.5" style="307" customWidth="1"/>
    <col min="5631" max="5631" width="12.5" style="307" customWidth="1"/>
    <col min="5632" max="5632" width="11.83203125" style="307" customWidth="1"/>
    <col min="5633" max="5633" width="12.83203125" style="307" customWidth="1"/>
    <col min="5634" max="5634" width="11" style="307" customWidth="1"/>
    <col min="5635" max="5635" width="11.5" style="307" customWidth="1"/>
    <col min="5636" max="5637" width="11.33203125" style="307" customWidth="1"/>
    <col min="5638" max="5638" width="13.5" style="307" customWidth="1"/>
    <col min="5639" max="5885" width="8.83203125" style="307"/>
    <col min="5886" max="5886" width="4.5" style="307" customWidth="1"/>
    <col min="5887" max="5887" width="12.5" style="307" customWidth="1"/>
    <col min="5888" max="5888" width="11.83203125" style="307" customWidth="1"/>
    <col min="5889" max="5889" width="12.83203125" style="307" customWidth="1"/>
    <col min="5890" max="5890" width="11" style="307" customWidth="1"/>
    <col min="5891" max="5891" width="11.5" style="307" customWidth="1"/>
    <col min="5892" max="5893" width="11.33203125" style="307" customWidth="1"/>
    <col min="5894" max="5894" width="13.5" style="307" customWidth="1"/>
    <col min="5895" max="6141" width="8.83203125" style="307"/>
    <col min="6142" max="6142" width="4.5" style="307" customWidth="1"/>
    <col min="6143" max="6143" width="12.5" style="307" customWidth="1"/>
    <col min="6144" max="6144" width="11.83203125" style="307" customWidth="1"/>
    <col min="6145" max="6145" width="12.83203125" style="307" customWidth="1"/>
    <col min="6146" max="6146" width="11" style="307" customWidth="1"/>
    <col min="6147" max="6147" width="11.5" style="307" customWidth="1"/>
    <col min="6148" max="6149" width="11.33203125" style="307" customWidth="1"/>
    <col min="6150" max="6150" width="13.5" style="307" customWidth="1"/>
    <col min="6151" max="6397" width="8.83203125" style="307"/>
    <col min="6398" max="6398" width="4.5" style="307" customWidth="1"/>
    <col min="6399" max="6399" width="12.5" style="307" customWidth="1"/>
    <col min="6400" max="6400" width="11.83203125" style="307" customWidth="1"/>
    <col min="6401" max="6401" width="12.83203125" style="307" customWidth="1"/>
    <col min="6402" max="6402" width="11" style="307" customWidth="1"/>
    <col min="6403" max="6403" width="11.5" style="307" customWidth="1"/>
    <col min="6404" max="6405" width="11.33203125" style="307" customWidth="1"/>
    <col min="6406" max="6406" width="13.5" style="307" customWidth="1"/>
    <col min="6407" max="6653" width="8.83203125" style="307"/>
    <col min="6654" max="6654" width="4.5" style="307" customWidth="1"/>
    <col min="6655" max="6655" width="12.5" style="307" customWidth="1"/>
    <col min="6656" max="6656" width="11.83203125" style="307" customWidth="1"/>
    <col min="6657" max="6657" width="12.83203125" style="307" customWidth="1"/>
    <col min="6658" max="6658" width="11" style="307" customWidth="1"/>
    <col min="6659" max="6659" width="11.5" style="307" customWidth="1"/>
    <col min="6660" max="6661" width="11.33203125" style="307" customWidth="1"/>
    <col min="6662" max="6662" width="13.5" style="307" customWidth="1"/>
    <col min="6663" max="6909" width="8.83203125" style="307"/>
    <col min="6910" max="6910" width="4.5" style="307" customWidth="1"/>
    <col min="6911" max="6911" width="12.5" style="307" customWidth="1"/>
    <col min="6912" max="6912" width="11.83203125" style="307" customWidth="1"/>
    <col min="6913" max="6913" width="12.83203125" style="307" customWidth="1"/>
    <col min="6914" max="6914" width="11" style="307" customWidth="1"/>
    <col min="6915" max="6915" width="11.5" style="307" customWidth="1"/>
    <col min="6916" max="6917" width="11.33203125" style="307" customWidth="1"/>
    <col min="6918" max="6918" width="13.5" style="307" customWidth="1"/>
    <col min="6919" max="7165" width="8.83203125" style="307"/>
    <col min="7166" max="7166" width="4.5" style="307" customWidth="1"/>
    <col min="7167" max="7167" width="12.5" style="307" customWidth="1"/>
    <col min="7168" max="7168" width="11.83203125" style="307" customWidth="1"/>
    <col min="7169" max="7169" width="12.83203125" style="307" customWidth="1"/>
    <col min="7170" max="7170" width="11" style="307" customWidth="1"/>
    <col min="7171" max="7171" width="11.5" style="307" customWidth="1"/>
    <col min="7172" max="7173" width="11.33203125" style="307" customWidth="1"/>
    <col min="7174" max="7174" width="13.5" style="307" customWidth="1"/>
    <col min="7175" max="7421" width="8.83203125" style="307"/>
    <col min="7422" max="7422" width="4.5" style="307" customWidth="1"/>
    <col min="7423" max="7423" width="12.5" style="307" customWidth="1"/>
    <col min="7424" max="7424" width="11.83203125" style="307" customWidth="1"/>
    <col min="7425" max="7425" width="12.83203125" style="307" customWidth="1"/>
    <col min="7426" max="7426" width="11" style="307" customWidth="1"/>
    <col min="7427" max="7427" width="11.5" style="307" customWidth="1"/>
    <col min="7428" max="7429" width="11.33203125" style="307" customWidth="1"/>
    <col min="7430" max="7430" width="13.5" style="307" customWidth="1"/>
    <col min="7431" max="7677" width="8.83203125" style="307"/>
    <col min="7678" max="7678" width="4.5" style="307" customWidth="1"/>
    <col min="7679" max="7679" width="12.5" style="307" customWidth="1"/>
    <col min="7680" max="7680" width="11.83203125" style="307" customWidth="1"/>
    <col min="7681" max="7681" width="12.83203125" style="307" customWidth="1"/>
    <col min="7682" max="7682" width="11" style="307" customWidth="1"/>
    <col min="7683" max="7683" width="11.5" style="307" customWidth="1"/>
    <col min="7684" max="7685" width="11.33203125" style="307" customWidth="1"/>
    <col min="7686" max="7686" width="13.5" style="307" customWidth="1"/>
    <col min="7687" max="7933" width="8.83203125" style="307"/>
    <col min="7934" max="7934" width="4.5" style="307" customWidth="1"/>
    <col min="7935" max="7935" width="12.5" style="307" customWidth="1"/>
    <col min="7936" max="7936" width="11.83203125" style="307" customWidth="1"/>
    <col min="7937" max="7937" width="12.83203125" style="307" customWidth="1"/>
    <col min="7938" max="7938" width="11" style="307" customWidth="1"/>
    <col min="7939" max="7939" width="11.5" style="307" customWidth="1"/>
    <col min="7940" max="7941" width="11.33203125" style="307" customWidth="1"/>
    <col min="7942" max="7942" width="13.5" style="307" customWidth="1"/>
    <col min="7943" max="8189" width="8.83203125" style="307"/>
    <col min="8190" max="8190" width="4.5" style="307" customWidth="1"/>
    <col min="8191" max="8191" width="12.5" style="307" customWidth="1"/>
    <col min="8192" max="8192" width="11.83203125" style="307" customWidth="1"/>
    <col min="8193" max="8193" width="12.83203125" style="307" customWidth="1"/>
    <col min="8194" max="8194" width="11" style="307" customWidth="1"/>
    <col min="8195" max="8195" width="11.5" style="307" customWidth="1"/>
    <col min="8196" max="8197" width="11.33203125" style="307" customWidth="1"/>
    <col min="8198" max="8198" width="13.5" style="307" customWidth="1"/>
    <col min="8199" max="8445" width="8.83203125" style="307"/>
    <col min="8446" max="8446" width="4.5" style="307" customWidth="1"/>
    <col min="8447" max="8447" width="12.5" style="307" customWidth="1"/>
    <col min="8448" max="8448" width="11.83203125" style="307" customWidth="1"/>
    <col min="8449" max="8449" width="12.83203125" style="307" customWidth="1"/>
    <col min="8450" max="8450" width="11" style="307" customWidth="1"/>
    <col min="8451" max="8451" width="11.5" style="307" customWidth="1"/>
    <col min="8452" max="8453" width="11.33203125" style="307" customWidth="1"/>
    <col min="8454" max="8454" width="13.5" style="307" customWidth="1"/>
    <col min="8455" max="8701" width="8.83203125" style="307"/>
    <col min="8702" max="8702" width="4.5" style="307" customWidth="1"/>
    <col min="8703" max="8703" width="12.5" style="307" customWidth="1"/>
    <col min="8704" max="8704" width="11.83203125" style="307" customWidth="1"/>
    <col min="8705" max="8705" width="12.83203125" style="307" customWidth="1"/>
    <col min="8706" max="8706" width="11" style="307" customWidth="1"/>
    <col min="8707" max="8707" width="11.5" style="307" customWidth="1"/>
    <col min="8708" max="8709" width="11.33203125" style="307" customWidth="1"/>
    <col min="8710" max="8710" width="13.5" style="307" customWidth="1"/>
    <col min="8711" max="8957" width="8.83203125" style="307"/>
    <col min="8958" max="8958" width="4.5" style="307" customWidth="1"/>
    <col min="8959" max="8959" width="12.5" style="307" customWidth="1"/>
    <col min="8960" max="8960" width="11.83203125" style="307" customWidth="1"/>
    <col min="8961" max="8961" width="12.83203125" style="307" customWidth="1"/>
    <col min="8962" max="8962" width="11" style="307" customWidth="1"/>
    <col min="8963" max="8963" width="11.5" style="307" customWidth="1"/>
    <col min="8964" max="8965" width="11.33203125" style="307" customWidth="1"/>
    <col min="8966" max="8966" width="13.5" style="307" customWidth="1"/>
    <col min="8967" max="9213" width="8.83203125" style="307"/>
    <col min="9214" max="9214" width="4.5" style="307" customWidth="1"/>
    <col min="9215" max="9215" width="12.5" style="307" customWidth="1"/>
    <col min="9216" max="9216" width="11.83203125" style="307" customWidth="1"/>
    <col min="9217" max="9217" width="12.83203125" style="307" customWidth="1"/>
    <col min="9218" max="9218" width="11" style="307" customWidth="1"/>
    <col min="9219" max="9219" width="11.5" style="307" customWidth="1"/>
    <col min="9220" max="9221" width="11.33203125" style="307" customWidth="1"/>
    <col min="9222" max="9222" width="13.5" style="307" customWidth="1"/>
    <col min="9223" max="9469" width="8.83203125" style="307"/>
    <col min="9470" max="9470" width="4.5" style="307" customWidth="1"/>
    <col min="9471" max="9471" width="12.5" style="307" customWidth="1"/>
    <col min="9472" max="9472" width="11.83203125" style="307" customWidth="1"/>
    <col min="9473" max="9473" width="12.83203125" style="307" customWidth="1"/>
    <col min="9474" max="9474" width="11" style="307" customWidth="1"/>
    <col min="9475" max="9475" width="11.5" style="307" customWidth="1"/>
    <col min="9476" max="9477" width="11.33203125" style="307" customWidth="1"/>
    <col min="9478" max="9478" width="13.5" style="307" customWidth="1"/>
    <col min="9479" max="9725" width="8.83203125" style="307"/>
    <col min="9726" max="9726" width="4.5" style="307" customWidth="1"/>
    <col min="9727" max="9727" width="12.5" style="307" customWidth="1"/>
    <col min="9728" max="9728" width="11.83203125" style="307" customWidth="1"/>
    <col min="9729" max="9729" width="12.83203125" style="307" customWidth="1"/>
    <col min="9730" max="9730" width="11" style="307" customWidth="1"/>
    <col min="9731" max="9731" width="11.5" style="307" customWidth="1"/>
    <col min="9732" max="9733" width="11.33203125" style="307" customWidth="1"/>
    <col min="9734" max="9734" width="13.5" style="307" customWidth="1"/>
    <col min="9735" max="9981" width="8.83203125" style="307"/>
    <col min="9982" max="9982" width="4.5" style="307" customWidth="1"/>
    <col min="9983" max="9983" width="12.5" style="307" customWidth="1"/>
    <col min="9984" max="9984" width="11.83203125" style="307" customWidth="1"/>
    <col min="9985" max="9985" width="12.83203125" style="307" customWidth="1"/>
    <col min="9986" max="9986" width="11" style="307" customWidth="1"/>
    <col min="9987" max="9987" width="11.5" style="307" customWidth="1"/>
    <col min="9988" max="9989" width="11.33203125" style="307" customWidth="1"/>
    <col min="9990" max="9990" width="13.5" style="307" customWidth="1"/>
    <col min="9991" max="10237" width="8.83203125" style="307"/>
    <col min="10238" max="10238" width="4.5" style="307" customWidth="1"/>
    <col min="10239" max="10239" width="12.5" style="307" customWidth="1"/>
    <col min="10240" max="10240" width="11.83203125" style="307" customWidth="1"/>
    <col min="10241" max="10241" width="12.83203125" style="307" customWidth="1"/>
    <col min="10242" max="10242" width="11" style="307" customWidth="1"/>
    <col min="10243" max="10243" width="11.5" style="307" customWidth="1"/>
    <col min="10244" max="10245" width="11.33203125" style="307" customWidth="1"/>
    <col min="10246" max="10246" width="13.5" style="307" customWidth="1"/>
    <col min="10247" max="10493" width="8.83203125" style="307"/>
    <col min="10494" max="10494" width="4.5" style="307" customWidth="1"/>
    <col min="10495" max="10495" width="12.5" style="307" customWidth="1"/>
    <col min="10496" max="10496" width="11.83203125" style="307" customWidth="1"/>
    <col min="10497" max="10497" width="12.83203125" style="307" customWidth="1"/>
    <col min="10498" max="10498" width="11" style="307" customWidth="1"/>
    <col min="10499" max="10499" width="11.5" style="307" customWidth="1"/>
    <col min="10500" max="10501" width="11.33203125" style="307" customWidth="1"/>
    <col min="10502" max="10502" width="13.5" style="307" customWidth="1"/>
    <col min="10503" max="10749" width="8.83203125" style="307"/>
    <col min="10750" max="10750" width="4.5" style="307" customWidth="1"/>
    <col min="10751" max="10751" width="12.5" style="307" customWidth="1"/>
    <col min="10752" max="10752" width="11.83203125" style="307" customWidth="1"/>
    <col min="10753" max="10753" width="12.83203125" style="307" customWidth="1"/>
    <col min="10754" max="10754" width="11" style="307" customWidth="1"/>
    <col min="10755" max="10755" width="11.5" style="307" customWidth="1"/>
    <col min="10756" max="10757" width="11.33203125" style="307" customWidth="1"/>
    <col min="10758" max="10758" width="13.5" style="307" customWidth="1"/>
    <col min="10759" max="11005" width="8.83203125" style="307"/>
    <col min="11006" max="11006" width="4.5" style="307" customWidth="1"/>
    <col min="11007" max="11007" width="12.5" style="307" customWidth="1"/>
    <col min="11008" max="11008" width="11.83203125" style="307" customWidth="1"/>
    <col min="11009" max="11009" width="12.83203125" style="307" customWidth="1"/>
    <col min="11010" max="11010" width="11" style="307" customWidth="1"/>
    <col min="11011" max="11011" width="11.5" style="307" customWidth="1"/>
    <col min="11012" max="11013" width="11.33203125" style="307" customWidth="1"/>
    <col min="11014" max="11014" width="13.5" style="307" customWidth="1"/>
    <col min="11015" max="11261" width="8.83203125" style="307"/>
    <col min="11262" max="11262" width="4.5" style="307" customWidth="1"/>
    <col min="11263" max="11263" width="12.5" style="307" customWidth="1"/>
    <col min="11264" max="11264" width="11.83203125" style="307" customWidth="1"/>
    <col min="11265" max="11265" width="12.83203125" style="307" customWidth="1"/>
    <col min="11266" max="11266" width="11" style="307" customWidth="1"/>
    <col min="11267" max="11267" width="11.5" style="307" customWidth="1"/>
    <col min="11268" max="11269" width="11.33203125" style="307" customWidth="1"/>
    <col min="11270" max="11270" width="13.5" style="307" customWidth="1"/>
    <col min="11271" max="11517" width="8.83203125" style="307"/>
    <col min="11518" max="11518" width="4.5" style="307" customWidth="1"/>
    <col min="11519" max="11519" width="12.5" style="307" customWidth="1"/>
    <col min="11520" max="11520" width="11.83203125" style="307" customWidth="1"/>
    <col min="11521" max="11521" width="12.83203125" style="307" customWidth="1"/>
    <col min="11522" max="11522" width="11" style="307" customWidth="1"/>
    <col min="11523" max="11523" width="11.5" style="307" customWidth="1"/>
    <col min="11524" max="11525" width="11.33203125" style="307" customWidth="1"/>
    <col min="11526" max="11526" width="13.5" style="307" customWidth="1"/>
    <col min="11527" max="11773" width="8.83203125" style="307"/>
    <col min="11774" max="11774" width="4.5" style="307" customWidth="1"/>
    <col min="11775" max="11775" width="12.5" style="307" customWidth="1"/>
    <col min="11776" max="11776" width="11.83203125" style="307" customWidth="1"/>
    <col min="11777" max="11777" width="12.83203125" style="307" customWidth="1"/>
    <col min="11778" max="11778" width="11" style="307" customWidth="1"/>
    <col min="11779" max="11779" width="11.5" style="307" customWidth="1"/>
    <col min="11780" max="11781" width="11.33203125" style="307" customWidth="1"/>
    <col min="11782" max="11782" width="13.5" style="307" customWidth="1"/>
    <col min="11783" max="12029" width="8.83203125" style="307"/>
    <col min="12030" max="12030" width="4.5" style="307" customWidth="1"/>
    <col min="12031" max="12031" width="12.5" style="307" customWidth="1"/>
    <col min="12032" max="12032" width="11.83203125" style="307" customWidth="1"/>
    <col min="12033" max="12033" width="12.83203125" style="307" customWidth="1"/>
    <col min="12034" max="12034" width="11" style="307" customWidth="1"/>
    <col min="12035" max="12035" width="11.5" style="307" customWidth="1"/>
    <col min="12036" max="12037" width="11.33203125" style="307" customWidth="1"/>
    <col min="12038" max="12038" width="13.5" style="307" customWidth="1"/>
    <col min="12039" max="12285" width="8.83203125" style="307"/>
    <col min="12286" max="12286" width="4.5" style="307" customWidth="1"/>
    <col min="12287" max="12287" width="12.5" style="307" customWidth="1"/>
    <col min="12288" max="12288" width="11.83203125" style="307" customWidth="1"/>
    <col min="12289" max="12289" width="12.83203125" style="307" customWidth="1"/>
    <col min="12290" max="12290" width="11" style="307" customWidth="1"/>
    <col min="12291" max="12291" width="11.5" style="307" customWidth="1"/>
    <col min="12292" max="12293" width="11.33203125" style="307" customWidth="1"/>
    <col min="12294" max="12294" width="13.5" style="307" customWidth="1"/>
    <col min="12295" max="12541" width="8.83203125" style="307"/>
    <col min="12542" max="12542" width="4.5" style="307" customWidth="1"/>
    <col min="12543" max="12543" width="12.5" style="307" customWidth="1"/>
    <col min="12544" max="12544" width="11.83203125" style="307" customWidth="1"/>
    <col min="12545" max="12545" width="12.83203125" style="307" customWidth="1"/>
    <col min="12546" max="12546" width="11" style="307" customWidth="1"/>
    <col min="12547" max="12547" width="11.5" style="307" customWidth="1"/>
    <col min="12548" max="12549" width="11.33203125" style="307" customWidth="1"/>
    <col min="12550" max="12550" width="13.5" style="307" customWidth="1"/>
    <col min="12551" max="12797" width="8.83203125" style="307"/>
    <col min="12798" max="12798" width="4.5" style="307" customWidth="1"/>
    <col min="12799" max="12799" width="12.5" style="307" customWidth="1"/>
    <col min="12800" max="12800" width="11.83203125" style="307" customWidth="1"/>
    <col min="12801" max="12801" width="12.83203125" style="307" customWidth="1"/>
    <col min="12802" max="12802" width="11" style="307" customWidth="1"/>
    <col min="12803" max="12803" width="11.5" style="307" customWidth="1"/>
    <col min="12804" max="12805" width="11.33203125" style="307" customWidth="1"/>
    <col min="12806" max="12806" width="13.5" style="307" customWidth="1"/>
    <col min="12807" max="13053" width="8.83203125" style="307"/>
    <col min="13054" max="13054" width="4.5" style="307" customWidth="1"/>
    <col min="13055" max="13055" width="12.5" style="307" customWidth="1"/>
    <col min="13056" max="13056" width="11.83203125" style="307" customWidth="1"/>
    <col min="13057" max="13057" width="12.83203125" style="307" customWidth="1"/>
    <col min="13058" max="13058" width="11" style="307" customWidth="1"/>
    <col min="13059" max="13059" width="11.5" style="307" customWidth="1"/>
    <col min="13060" max="13061" width="11.33203125" style="307" customWidth="1"/>
    <col min="13062" max="13062" width="13.5" style="307" customWidth="1"/>
    <col min="13063" max="13309" width="8.83203125" style="307"/>
    <col min="13310" max="13310" width="4.5" style="307" customWidth="1"/>
    <col min="13311" max="13311" width="12.5" style="307" customWidth="1"/>
    <col min="13312" max="13312" width="11.83203125" style="307" customWidth="1"/>
    <col min="13313" max="13313" width="12.83203125" style="307" customWidth="1"/>
    <col min="13314" max="13314" width="11" style="307" customWidth="1"/>
    <col min="13315" max="13315" width="11.5" style="307" customWidth="1"/>
    <col min="13316" max="13317" width="11.33203125" style="307" customWidth="1"/>
    <col min="13318" max="13318" width="13.5" style="307" customWidth="1"/>
    <col min="13319" max="13565" width="8.83203125" style="307"/>
    <col min="13566" max="13566" width="4.5" style="307" customWidth="1"/>
    <col min="13567" max="13567" width="12.5" style="307" customWidth="1"/>
    <col min="13568" max="13568" width="11.83203125" style="307" customWidth="1"/>
    <col min="13569" max="13569" width="12.83203125" style="307" customWidth="1"/>
    <col min="13570" max="13570" width="11" style="307" customWidth="1"/>
    <col min="13571" max="13571" width="11.5" style="307" customWidth="1"/>
    <col min="13572" max="13573" width="11.33203125" style="307" customWidth="1"/>
    <col min="13574" max="13574" width="13.5" style="307" customWidth="1"/>
    <col min="13575" max="13821" width="8.83203125" style="307"/>
    <col min="13822" max="13822" width="4.5" style="307" customWidth="1"/>
    <col min="13823" max="13823" width="12.5" style="307" customWidth="1"/>
    <col min="13824" max="13824" width="11.83203125" style="307" customWidth="1"/>
    <col min="13825" max="13825" width="12.83203125" style="307" customWidth="1"/>
    <col min="13826" max="13826" width="11" style="307" customWidth="1"/>
    <col min="13827" max="13827" width="11.5" style="307" customWidth="1"/>
    <col min="13828" max="13829" width="11.33203125" style="307" customWidth="1"/>
    <col min="13830" max="13830" width="13.5" style="307" customWidth="1"/>
    <col min="13831" max="14077" width="8.83203125" style="307"/>
    <col min="14078" max="14078" width="4.5" style="307" customWidth="1"/>
    <col min="14079" max="14079" width="12.5" style="307" customWidth="1"/>
    <col min="14080" max="14080" width="11.83203125" style="307" customWidth="1"/>
    <col min="14081" max="14081" width="12.83203125" style="307" customWidth="1"/>
    <col min="14082" max="14082" width="11" style="307" customWidth="1"/>
    <col min="14083" max="14083" width="11.5" style="307" customWidth="1"/>
    <col min="14084" max="14085" width="11.33203125" style="307" customWidth="1"/>
    <col min="14086" max="14086" width="13.5" style="307" customWidth="1"/>
    <col min="14087" max="14333" width="8.83203125" style="307"/>
    <col min="14334" max="14334" width="4.5" style="307" customWidth="1"/>
    <col min="14335" max="14335" width="12.5" style="307" customWidth="1"/>
    <col min="14336" max="14336" width="11.83203125" style="307" customWidth="1"/>
    <col min="14337" max="14337" width="12.83203125" style="307" customWidth="1"/>
    <col min="14338" max="14338" width="11" style="307" customWidth="1"/>
    <col min="14339" max="14339" width="11.5" style="307" customWidth="1"/>
    <col min="14340" max="14341" width="11.33203125" style="307" customWidth="1"/>
    <col min="14342" max="14342" width="13.5" style="307" customWidth="1"/>
    <col min="14343" max="14589" width="8.83203125" style="307"/>
    <col min="14590" max="14590" width="4.5" style="307" customWidth="1"/>
    <col min="14591" max="14591" width="12.5" style="307" customWidth="1"/>
    <col min="14592" max="14592" width="11.83203125" style="307" customWidth="1"/>
    <col min="14593" max="14593" width="12.83203125" style="307" customWidth="1"/>
    <col min="14594" max="14594" width="11" style="307" customWidth="1"/>
    <col min="14595" max="14595" width="11.5" style="307" customWidth="1"/>
    <col min="14596" max="14597" width="11.33203125" style="307" customWidth="1"/>
    <col min="14598" max="14598" width="13.5" style="307" customWidth="1"/>
    <col min="14599" max="14845" width="8.83203125" style="307"/>
    <col min="14846" max="14846" width="4.5" style="307" customWidth="1"/>
    <col min="14847" max="14847" width="12.5" style="307" customWidth="1"/>
    <col min="14848" max="14848" width="11.83203125" style="307" customWidth="1"/>
    <col min="14849" max="14849" width="12.83203125" style="307" customWidth="1"/>
    <col min="14850" max="14850" width="11" style="307" customWidth="1"/>
    <col min="14851" max="14851" width="11.5" style="307" customWidth="1"/>
    <col min="14852" max="14853" width="11.33203125" style="307" customWidth="1"/>
    <col min="14854" max="14854" width="13.5" style="307" customWidth="1"/>
    <col min="14855" max="15101" width="8.83203125" style="307"/>
    <col min="15102" max="15102" width="4.5" style="307" customWidth="1"/>
    <col min="15103" max="15103" width="12.5" style="307" customWidth="1"/>
    <col min="15104" max="15104" width="11.83203125" style="307" customWidth="1"/>
    <col min="15105" max="15105" width="12.83203125" style="307" customWidth="1"/>
    <col min="15106" max="15106" width="11" style="307" customWidth="1"/>
    <col min="15107" max="15107" width="11.5" style="307" customWidth="1"/>
    <col min="15108" max="15109" width="11.33203125" style="307" customWidth="1"/>
    <col min="15110" max="15110" width="13.5" style="307" customWidth="1"/>
    <col min="15111" max="15357" width="8.83203125" style="307"/>
    <col min="15358" max="15358" width="4.5" style="307" customWidth="1"/>
    <col min="15359" max="15359" width="12.5" style="307" customWidth="1"/>
    <col min="15360" max="15360" width="11.83203125" style="307" customWidth="1"/>
    <col min="15361" max="15361" width="12.83203125" style="307" customWidth="1"/>
    <col min="15362" max="15362" width="11" style="307" customWidth="1"/>
    <col min="15363" max="15363" width="11.5" style="307" customWidth="1"/>
    <col min="15364" max="15365" width="11.33203125" style="307" customWidth="1"/>
    <col min="15366" max="15366" width="13.5" style="307" customWidth="1"/>
    <col min="15367" max="15613" width="8.83203125" style="307"/>
    <col min="15614" max="15614" width="4.5" style="307" customWidth="1"/>
    <col min="15615" max="15615" width="12.5" style="307" customWidth="1"/>
    <col min="15616" max="15616" width="11.83203125" style="307" customWidth="1"/>
    <col min="15617" max="15617" width="12.83203125" style="307" customWidth="1"/>
    <col min="15618" max="15618" width="11" style="307" customWidth="1"/>
    <col min="15619" max="15619" width="11.5" style="307" customWidth="1"/>
    <col min="15620" max="15621" width="11.33203125" style="307" customWidth="1"/>
    <col min="15622" max="15622" width="13.5" style="307" customWidth="1"/>
    <col min="15623" max="15869" width="8.83203125" style="307"/>
    <col min="15870" max="15870" width="4.5" style="307" customWidth="1"/>
    <col min="15871" max="15871" width="12.5" style="307" customWidth="1"/>
    <col min="15872" max="15872" width="11.83203125" style="307" customWidth="1"/>
    <col min="15873" max="15873" width="12.83203125" style="307" customWidth="1"/>
    <col min="15874" max="15874" width="11" style="307" customWidth="1"/>
    <col min="15875" max="15875" width="11.5" style="307" customWidth="1"/>
    <col min="15876" max="15877" width="11.33203125" style="307" customWidth="1"/>
    <col min="15878" max="15878" width="13.5" style="307" customWidth="1"/>
    <col min="15879" max="16125" width="8.83203125" style="307"/>
    <col min="16126" max="16126" width="4.5" style="307" customWidth="1"/>
    <col min="16127" max="16127" width="12.5" style="307" customWidth="1"/>
    <col min="16128" max="16128" width="11.83203125" style="307" customWidth="1"/>
    <col min="16129" max="16129" width="12.83203125" style="307" customWidth="1"/>
    <col min="16130" max="16130" width="11" style="307" customWidth="1"/>
    <col min="16131" max="16131" width="11.5" style="307" customWidth="1"/>
    <col min="16132" max="16133" width="11.33203125" style="307" customWidth="1"/>
    <col min="16134" max="16134" width="13.5" style="307" customWidth="1"/>
    <col min="16135" max="16384" width="8.83203125" style="307"/>
  </cols>
  <sheetData>
    <row r="1" spans="1:16" ht="33" customHeight="1">
      <c r="A1" s="770" t="s">
        <v>104</v>
      </c>
      <c r="B1" s="771"/>
      <c r="C1" s="771"/>
      <c r="D1" s="771"/>
      <c r="E1" s="771"/>
      <c r="F1" s="771"/>
      <c r="G1" s="771"/>
      <c r="H1" s="771"/>
    </row>
    <row r="2" spans="1:16" ht="22" customHeight="1">
      <c r="A2" s="308" t="str">
        <f>'Amortization-HIDDEN-B'!A2</f>
        <v>4.1.5.c</v>
      </c>
      <c r="B2" s="308" t="str">
        <f>'Amortization-HIDDEN-B'!B2</f>
        <v>04232024</v>
      </c>
      <c r="C2" s="308"/>
      <c r="D2" s="308"/>
      <c r="E2" s="308"/>
      <c r="F2" s="308"/>
      <c r="G2" s="308"/>
      <c r="H2" s="308"/>
    </row>
    <row r="3" spans="1:16" ht="19.5" customHeight="1" thickBot="1">
      <c r="A3" s="309"/>
      <c r="B3" s="309"/>
      <c r="C3" s="309"/>
      <c r="D3" s="310" t="s">
        <v>92</v>
      </c>
      <c r="E3" s="310"/>
      <c r="F3" s="309"/>
      <c r="G3" s="309"/>
      <c r="H3" s="306"/>
      <c r="I3" s="311"/>
      <c r="J3" s="311"/>
      <c r="L3" s="311"/>
    </row>
    <row r="4" spans="1:16">
      <c r="A4" s="769" t="s">
        <v>93</v>
      </c>
      <c r="B4" s="769"/>
      <c r="C4" s="769"/>
      <c r="D4" s="312">
        <f>'Summary Schedule'!G26+'Summary Schedule'!G27+'Summary Schedule'!G28-'Summary Schedule'!G29</f>
        <v>18024232.379310332</v>
      </c>
      <c r="E4" s="309" t="s">
        <v>102</v>
      </c>
      <c r="F4" s="307"/>
      <c r="G4" s="307"/>
      <c r="H4" s="307"/>
      <c r="I4" s="307"/>
      <c r="L4" s="311"/>
    </row>
    <row r="5" spans="1:16">
      <c r="A5" s="769" t="s">
        <v>117</v>
      </c>
      <c r="B5" s="769"/>
      <c r="C5" s="769"/>
      <c r="D5" s="313">
        <f>'Summary Schedule'!C30/12</f>
        <v>4.1666666666666666E-3</v>
      </c>
      <c r="E5" s="309" t="s">
        <v>102</v>
      </c>
      <c r="F5" s="307"/>
      <c r="G5" s="307"/>
      <c r="H5" s="314"/>
      <c r="I5" s="307"/>
      <c r="L5" s="311"/>
    </row>
    <row r="6" spans="1:16">
      <c r="A6" s="769" t="s">
        <v>118</v>
      </c>
      <c r="B6" s="769"/>
      <c r="C6" s="769"/>
      <c r="D6" s="315">
        <v>480</v>
      </c>
      <c r="E6" s="309" t="s">
        <v>108</v>
      </c>
      <c r="F6" s="307"/>
      <c r="G6" s="316"/>
      <c r="H6" s="307"/>
      <c r="I6" s="317"/>
      <c r="L6" s="311"/>
    </row>
    <row r="7" spans="1:16" ht="14" thickBot="1">
      <c r="A7" s="769" t="s">
        <v>94</v>
      </c>
      <c r="B7" s="769"/>
      <c r="C7" s="769"/>
      <c r="D7" s="318">
        <f>IF('Summary Schedule'!G32="",1/1/1,'Summary Schedule'!G32)</f>
        <v>46315</v>
      </c>
      <c r="E7" s="309" t="s">
        <v>102</v>
      </c>
      <c r="F7" s="307"/>
      <c r="G7" s="307"/>
      <c r="H7" s="307"/>
      <c r="I7" s="307"/>
      <c r="L7" s="311"/>
    </row>
    <row r="8" spans="1:16">
      <c r="A8" s="319"/>
      <c r="B8" s="319"/>
      <c r="C8" s="319"/>
      <c r="D8" s="320"/>
      <c r="E8" s="319"/>
      <c r="F8" s="307"/>
      <c r="G8" s="307"/>
      <c r="H8" s="307"/>
      <c r="I8" s="307"/>
      <c r="L8" s="311"/>
    </row>
    <row r="9" spans="1:16" ht="14.25" customHeight="1" thickBot="1">
      <c r="A9" s="309"/>
      <c r="B9" s="309"/>
      <c r="C9" s="309"/>
      <c r="D9" s="309"/>
      <c r="E9" s="309"/>
      <c r="F9" s="307"/>
      <c r="G9" s="307"/>
      <c r="H9" s="307"/>
      <c r="I9" s="307"/>
      <c r="L9" s="311"/>
      <c r="M9" s="314"/>
    </row>
    <row r="10" spans="1:16" ht="14.25" customHeight="1" thickBot="1">
      <c r="A10" s="769" t="s">
        <v>357</v>
      </c>
      <c r="B10" s="769"/>
      <c r="C10" s="769"/>
      <c r="D10" s="342">
        <f>IF('Summary Schedule'!C36="Beginning",1,0)</f>
        <v>0</v>
      </c>
      <c r="E10" s="309" t="s">
        <v>103</v>
      </c>
      <c r="F10" s="307"/>
      <c r="G10" s="307"/>
      <c r="H10" s="307"/>
      <c r="I10" s="307"/>
      <c r="L10" s="311"/>
    </row>
    <row r="11" spans="1:16" ht="14.25" customHeight="1">
      <c r="A11" s="769" t="s">
        <v>127</v>
      </c>
      <c r="B11" s="769"/>
      <c r="C11" s="769"/>
      <c r="D11" s="315">
        <f ca="1">M15</f>
        <v>18</v>
      </c>
      <c r="E11" s="309"/>
      <c r="F11" s="307"/>
      <c r="G11" s="322"/>
      <c r="H11" s="307"/>
      <c r="I11" s="307"/>
    </row>
    <row r="12" spans="1:16">
      <c r="A12" s="769" t="s">
        <v>125</v>
      </c>
      <c r="B12" s="769"/>
      <c r="C12" s="769"/>
      <c r="D12" s="323"/>
      <c r="E12" s="324"/>
      <c r="F12" s="96"/>
      <c r="G12" s="96"/>
      <c r="H12" s="307"/>
      <c r="I12" s="307"/>
    </row>
    <row r="13" spans="1:16">
      <c r="A13" s="769" t="s">
        <v>95</v>
      </c>
      <c r="B13" s="769"/>
      <c r="C13" s="769"/>
      <c r="D13" s="325"/>
      <c r="E13" s="324"/>
      <c r="F13" s="307"/>
      <c r="G13" s="307"/>
      <c r="H13" s="307"/>
      <c r="I13" s="307"/>
    </row>
    <row r="14" spans="1:16" ht="14.25" customHeight="1" thickBot="1">
      <c r="A14" s="769" t="s">
        <v>128</v>
      </c>
      <c r="B14" s="769"/>
      <c r="C14" s="769"/>
      <c r="D14" s="326"/>
      <c r="E14" s="309"/>
      <c r="F14" s="327"/>
      <c r="G14" s="327"/>
      <c r="H14" s="327"/>
      <c r="I14" s="307"/>
    </row>
    <row r="15" spans="1:16" ht="15.75" customHeight="1">
      <c r="A15" s="769"/>
      <c r="B15" s="769"/>
      <c r="C15" s="769"/>
      <c r="D15" s="328" t="s">
        <v>122</v>
      </c>
      <c r="E15" s="320"/>
      <c r="F15" s="307"/>
      <c r="G15" s="307"/>
      <c r="H15" s="327"/>
      <c r="I15" s="307"/>
      <c r="M15" s="307">
        <f ca="1">COUNTIF(M17:M56,"&lt;&gt;0")</f>
        <v>18</v>
      </c>
    </row>
    <row r="16" spans="1:16" s="334" customFormat="1" ht="28.5" customHeight="1">
      <c r="A16" s="329" t="s">
        <v>96</v>
      </c>
      <c r="B16" s="329" t="s">
        <v>97</v>
      </c>
      <c r="C16" s="329" t="s">
        <v>98</v>
      </c>
      <c r="D16" s="330"/>
      <c r="E16" s="329" t="s">
        <v>126</v>
      </c>
      <c r="F16" s="329" t="s">
        <v>99</v>
      </c>
      <c r="G16" s="329" t="s">
        <v>100</v>
      </c>
      <c r="H16" s="329" t="s">
        <v>101</v>
      </c>
      <c r="I16" s="331"/>
      <c r="J16" s="332" t="s">
        <v>115</v>
      </c>
      <c r="K16" s="332" t="s">
        <v>114</v>
      </c>
      <c r="L16" s="332" t="s">
        <v>124</v>
      </c>
      <c r="M16" s="332" t="s">
        <v>116</v>
      </c>
      <c r="N16" s="332" t="str">
        <f>F16</f>
        <v>Principal</v>
      </c>
      <c r="O16" s="332" t="str">
        <f>G16</f>
        <v>Interest</v>
      </c>
      <c r="P16" s="333"/>
    </row>
    <row r="17" spans="1:22">
      <c r="A17" s="335">
        <v>0</v>
      </c>
      <c r="B17" s="335"/>
      <c r="C17" s="336"/>
      <c r="D17" s="336">
        <f ca="1">IF(H17&lt;0,0,(K17-L17)/11)</f>
        <v>123620.72727272728</v>
      </c>
      <c r="E17" s="336"/>
      <c r="F17" s="336"/>
      <c r="G17" s="336"/>
      <c r="H17" s="336">
        <f>D4</f>
        <v>18024232.379310332</v>
      </c>
      <c r="I17" s="337">
        <f ca="1">ROUND((D17-H17),0)</f>
        <v>-17900612</v>
      </c>
      <c r="J17" s="338">
        <v>1</v>
      </c>
      <c r="K17" s="339">
        <f ca="1">'Itemized Costs-HIDDEN'!M5-INDIRECT("'Sch3-Perf Period Cash Flow'!D"&amp;7&amp;"")</f>
        <v>1485411</v>
      </c>
      <c r="L17" s="468" cm="1">
        <f t="array" ref="L17:L56">TRANSPOSE('Sch3-Perf Period Cash Flow'!D21:AQ21)</f>
        <v>125583</v>
      </c>
      <c r="M17" s="122">
        <f ca="1">N17+O17</f>
        <v>1359828</v>
      </c>
      <c r="N17" s="122">
        <f ca="1">ROUND(SUM(INDIRECT(S17):INDIRECT(T17)),0)</f>
        <v>472146</v>
      </c>
      <c r="O17" s="122">
        <f ca="1">IF(N17=0,0,ROUND(SUM(INDIRECT(U17):INDIRECT(V17)),0))</f>
        <v>887682</v>
      </c>
      <c r="P17" s="123">
        <f ca="1">IF(N17&gt;0.005,J17,"")</f>
        <v>1</v>
      </c>
      <c r="Q17" s="1">
        <v>18</v>
      </c>
      <c r="R17" s="1">
        <f t="shared" ref="R17:R34" si="0">Q17+11</f>
        <v>29</v>
      </c>
      <c r="S17" s="1" t="str">
        <f>CONCATENATE("f",Q17)</f>
        <v>f18</v>
      </c>
      <c r="T17" s="1" t="str">
        <f>CONCATENATE("f",R17)</f>
        <v>f29</v>
      </c>
      <c r="U17" s="1" t="str">
        <f t="shared" ref="U17:V32" si="1">CONCATENATE("G",Q17)</f>
        <v>G18</v>
      </c>
      <c r="V17" s="1" t="str">
        <f t="shared" si="1"/>
        <v>G29</v>
      </c>
    </row>
    <row r="18" spans="1:22">
      <c r="A18" s="335">
        <f>IF(A17="","",IF(A17=$D$6,"",A17+1))</f>
        <v>1</v>
      </c>
      <c r="B18" s="340">
        <f>D7</f>
        <v>46315</v>
      </c>
      <c r="C18" s="336">
        <f>IF(H17=0,0,H17)</f>
        <v>18024232.379310332</v>
      </c>
      <c r="D18" s="335"/>
      <c r="E18" s="336">
        <f>IF($D$10=1,
 IF(OR(MONTH(B18)=MONTH(EDATE($D$7,0)),MONTH(B18)=MONTH(EDATE($D$7,1)),MONTH(B18)=MONTH(EDATE($D$7,2)),MONTH(B18)=MONTH(EDATE($D$7,3)), MONTH(B18)=MONTH(EDATE($D$7,4)),MONTH(B18)=MONTH(EDATE($D$7,5)),MONTH(B18)=MONTH(EDATE($D$7,6)),MONTH(B18)=MONTH(EDATE($D$7,7)),MONTH(B18)=MONTH(EDATE($D$7,8)),MONTH(B18)=MONTH(EDATE($D$7,9)),MONTH(B18)=MONTH(EDATE($D$7,10))),(MIN($D$17,H17)),0),
IF($D$10=0,
 IF(OR(MONTH(B18)=MONTH(EDATE($D$7,1)),MONTH(B18)=MONTH(EDATE($D$7,2)),MONTH(B18)=MONTH(EDATE($D$7,3)),MONTH(B18)=MONTH(EDATE($D$7,4)), MONTH(B18)=MONTH(EDATE($D$7,5)),MONTH(B18)=MONTH(EDATE($D$7,6)),MONTH(B18)=MONTH(EDATE($D$7,7)),MONTH(B18)=MONTH(EDATE($D$7,8)),MONTH(B18)=MONTH(EDATE($D$7,9)),MONTH(B18)=MONTH(EDATE($D$7,10)),MONTH(B18)=MONTH(EDATE($D$7,11))),(MIN($D$17,H17)),0)))</f>
        <v>0</v>
      </c>
      <c r="F18" s="336">
        <f t="shared" ref="F18:F81" si="2">IF(E18="","",E18-G18)</f>
        <v>-75100.967999999993</v>
      </c>
      <c r="G18" s="343">
        <f>ROUND((C18-E18)*$D$5,3)</f>
        <v>75100.967999999993</v>
      </c>
      <c r="H18" s="336">
        <f>IF(E18="","",ROUND(H17-F18,4))</f>
        <v>18099333.3473</v>
      </c>
      <c r="I18" s="337">
        <f t="shared" ref="I18:I81" si="3">ROUND((D18-H18),0)</f>
        <v>-18099333</v>
      </c>
      <c r="J18" s="338">
        <v>2</v>
      </c>
      <c r="K18" s="339">
        <f ca="1">'Itemized Costs-HIDDEN'!M6-INDIRECT("'Sch3-Perf Period Cash Flow'!E"&amp;7&amp;"")</f>
        <v>1515189</v>
      </c>
      <c r="L18" s="469">
        <v>128472</v>
      </c>
      <c r="M18" s="122">
        <f t="shared" ref="M18:M56" ca="1" si="4">N18+O18</f>
        <v>1386717</v>
      </c>
      <c r="N18" s="122">
        <f ca="1">ROUND(SUM(INDIRECT(S18):INDIRECT(T18)),0)</f>
        <v>523873</v>
      </c>
      <c r="O18" s="122">
        <f ca="1">IF(N18=0,0,ROUND(SUM(INDIRECT(U18):INDIRECT(V18)),0))</f>
        <v>862844</v>
      </c>
      <c r="P18" s="123">
        <f t="shared" ref="P18:P56" ca="1" si="5">IF(N18&gt;0.005,J18,"")</f>
        <v>2</v>
      </c>
      <c r="Q18" s="1">
        <f>Q17+12</f>
        <v>30</v>
      </c>
      <c r="R18" s="1">
        <f t="shared" si="0"/>
        <v>41</v>
      </c>
      <c r="S18" s="1" t="str">
        <f t="shared" ref="S18:T56" si="6">CONCATENATE("f",Q18)</f>
        <v>f30</v>
      </c>
      <c r="T18" s="1" t="str">
        <f t="shared" si="6"/>
        <v>f41</v>
      </c>
      <c r="U18" s="1" t="str">
        <f t="shared" si="1"/>
        <v>G30</v>
      </c>
      <c r="V18" s="1" t="str">
        <f t="shared" si="1"/>
        <v>G41</v>
      </c>
    </row>
    <row r="19" spans="1:22">
      <c r="A19" s="335">
        <f t="shared" ref="A19:A82" si="7">IF(A18="","",IF(A18=$D$6,"",A18+1))</f>
        <v>2</v>
      </c>
      <c r="B19" s="340">
        <f>DATE(YEAR(B18),MONTH(B18)+1,1)</f>
        <v>46327</v>
      </c>
      <c r="C19" s="336">
        <f t="shared" ref="C19:C82" si="8">IF(H18=0,0,H18)</f>
        <v>18099333.3473</v>
      </c>
      <c r="D19" s="335"/>
      <c r="E19" s="336">
        <f t="shared" ref="E19:E29" ca="1" si="9">IF($D$10=1,
 IF(OR(MONTH(B19)=MONTH(EDATE($D$7,0)),MONTH(B19)=MONTH(EDATE($D$7,1)),MONTH(B19)=MONTH(EDATE($D$7,2)),MONTH(B19)=MONTH(EDATE($D$7,3)), MONTH(B19)=MONTH(EDATE($D$7,4)),MONTH(B19)=MONTH(EDATE($D$7,5)),MONTH(B19)=MONTH(EDATE($D$7,6)),MONTH(B19)=MONTH(EDATE($D$7,7)),MONTH(B19)=MONTH(EDATE($D$7,8)),MONTH(B19)=MONTH(EDATE($D$7,9)),MONTH(B19)=MONTH(EDATE($D$7,10))),(MIN($D$17,H18)),0),
IF($D$10=0,
 IF(OR(MONTH(B19)=MONTH(EDATE($D$7,1)),MONTH(B19)=MONTH(EDATE($D$7,2)),MONTH(B19)=MONTH(EDATE($D$7,3)),MONTH(B19)=MONTH(EDATE($D$7,4)), MONTH(B19)=MONTH(EDATE($D$7,5)),MONTH(B19)=MONTH(EDATE($D$7,6)),MONTH(B19)=MONTH(EDATE($D$7,7)),MONTH(B19)=MONTH(EDATE($D$7,8)),MONTH(B19)=MONTH(EDATE($D$7,9)),MONTH(B19)=MONTH(EDATE($D$7,10)),MONTH(B19)=MONTH(EDATE($D$7,11))),(MIN($D$17,H18)),0)))</f>
        <v>123620.72727272728</v>
      </c>
      <c r="F19" s="336">
        <f t="shared" ca="1" si="2"/>
        <v>48721.924272727279</v>
      </c>
      <c r="G19" s="343">
        <f t="shared" ref="G19:G82" ca="1" si="10">ROUND((C19-E19)*$D$5,3)</f>
        <v>74898.803</v>
      </c>
      <c r="H19" s="336">
        <f t="shared" ref="H19:H82" ca="1" si="11">IF(E19="","",ROUND(H18-F19,4))</f>
        <v>18050611.423</v>
      </c>
      <c r="I19" s="337">
        <f t="shared" ca="1" si="3"/>
        <v>-18050611</v>
      </c>
      <c r="J19" s="338">
        <v>3</v>
      </c>
      <c r="K19" s="339">
        <f ca="1">'Itemized Costs-HIDDEN'!M7-INDIRECT("'Sch3-Perf Period Cash Flow'!F"&amp;7&amp;"")</f>
        <v>1545710</v>
      </c>
      <c r="L19" s="469">
        <v>131427</v>
      </c>
      <c r="M19" s="122">
        <f t="shared" ca="1" si="4"/>
        <v>1414283</v>
      </c>
      <c r="N19" s="122">
        <f ca="1">ROUND(SUM(INDIRECT(S19):INDIRECT(T19)),0)</f>
        <v>578940</v>
      </c>
      <c r="O19" s="122">
        <f ca="1">IF(N19=0,0,ROUND(SUM(INDIRECT(U19):INDIRECT(V19)),0))</f>
        <v>835343</v>
      </c>
      <c r="P19" s="123">
        <f t="shared" ca="1" si="5"/>
        <v>3</v>
      </c>
      <c r="Q19" s="1">
        <f t="shared" ref="Q19:Q56" si="12">Q18+12</f>
        <v>42</v>
      </c>
      <c r="R19" s="1">
        <f t="shared" si="0"/>
        <v>53</v>
      </c>
      <c r="S19" s="1" t="str">
        <f t="shared" si="6"/>
        <v>f42</v>
      </c>
      <c r="T19" s="1" t="str">
        <f t="shared" si="6"/>
        <v>f53</v>
      </c>
      <c r="U19" s="1" t="str">
        <f t="shared" si="1"/>
        <v>G42</v>
      </c>
      <c r="V19" s="1" t="str">
        <f t="shared" si="1"/>
        <v>G53</v>
      </c>
    </row>
    <row r="20" spans="1:22">
      <c r="A20" s="335">
        <f t="shared" si="7"/>
        <v>3</v>
      </c>
      <c r="B20" s="340">
        <f t="shared" ref="B20:B83" si="13">DATE(YEAR(B19),MONTH(B19)+1,1)</f>
        <v>46357</v>
      </c>
      <c r="C20" s="336">
        <f t="shared" ca="1" si="8"/>
        <v>18050611.423</v>
      </c>
      <c r="D20" s="335"/>
      <c r="E20" s="336">
        <f t="shared" ca="1" si="9"/>
        <v>123620.72727272728</v>
      </c>
      <c r="F20" s="336">
        <f t="shared" ca="1" si="2"/>
        <v>48924.932272727281</v>
      </c>
      <c r="G20" s="343">
        <f t="shared" ca="1" si="10"/>
        <v>74695.794999999998</v>
      </c>
      <c r="H20" s="336">
        <f t="shared" ca="1" si="11"/>
        <v>18001686.490699999</v>
      </c>
      <c r="I20" s="337">
        <f t="shared" ca="1" si="3"/>
        <v>-18001686</v>
      </c>
      <c r="J20" s="338">
        <v>4</v>
      </c>
      <c r="K20" s="339">
        <f ca="1">'Itemized Costs-HIDDEN'!M8-INDIRECT("'Sch3-Perf Period Cash Flow'!G"&amp;7&amp;"")</f>
        <v>1576996</v>
      </c>
      <c r="L20" s="469">
        <v>134450</v>
      </c>
      <c r="M20" s="122">
        <f t="shared" ca="1" si="4"/>
        <v>1442546</v>
      </c>
      <c r="N20" s="122">
        <f ca="1">ROUND(SUM(INDIRECT(S20):INDIRECT(T20)),0)</f>
        <v>637539</v>
      </c>
      <c r="O20" s="122">
        <f ca="1">IF(N20=0,0,ROUND(SUM(INDIRECT(U20):INDIRECT(V20)),0))</f>
        <v>805007</v>
      </c>
      <c r="P20" s="123">
        <f t="shared" ca="1" si="5"/>
        <v>4</v>
      </c>
      <c r="Q20" s="1">
        <f t="shared" si="12"/>
        <v>54</v>
      </c>
      <c r="R20" s="1">
        <f t="shared" si="0"/>
        <v>65</v>
      </c>
      <c r="S20" s="1" t="str">
        <f t="shared" si="6"/>
        <v>f54</v>
      </c>
      <c r="T20" s="1" t="str">
        <f t="shared" si="6"/>
        <v>f65</v>
      </c>
      <c r="U20" s="1" t="str">
        <f t="shared" si="1"/>
        <v>G54</v>
      </c>
      <c r="V20" s="1" t="str">
        <f t="shared" si="1"/>
        <v>G65</v>
      </c>
    </row>
    <row r="21" spans="1:22">
      <c r="A21" s="335">
        <f t="shared" si="7"/>
        <v>4</v>
      </c>
      <c r="B21" s="340">
        <f t="shared" si="13"/>
        <v>46388</v>
      </c>
      <c r="C21" s="336">
        <f t="shared" ca="1" si="8"/>
        <v>18001686.490699999</v>
      </c>
      <c r="D21" s="335"/>
      <c r="E21" s="336">
        <f t="shared" ca="1" si="9"/>
        <v>123620.72727272728</v>
      </c>
      <c r="F21" s="336">
        <f t="shared" ca="1" si="2"/>
        <v>49128.786272727273</v>
      </c>
      <c r="G21" s="343">
        <f t="shared" ca="1" si="10"/>
        <v>74491.941000000006</v>
      </c>
      <c r="H21" s="336">
        <f t="shared" ca="1" si="11"/>
        <v>17952557.704399999</v>
      </c>
      <c r="I21" s="337">
        <f t="shared" ca="1" si="3"/>
        <v>-17952558</v>
      </c>
      <c r="J21" s="338">
        <v>5</v>
      </c>
      <c r="K21" s="339">
        <f ca="1">'Itemized Costs-HIDDEN'!M9-INDIRECT("'Sch3-Perf Period Cash Flow'!H"&amp;7&amp;"")</f>
        <v>1609068</v>
      </c>
      <c r="L21" s="469">
        <v>137542</v>
      </c>
      <c r="M21" s="122">
        <f t="shared" ca="1" si="4"/>
        <v>1471526</v>
      </c>
      <c r="N21" s="122">
        <f ca="1">ROUND(SUM(INDIRECT(S21):INDIRECT(T21)),0)</f>
        <v>699872</v>
      </c>
      <c r="O21" s="122">
        <f ca="1">IF(N21=0,0,ROUND(SUM(INDIRECT(U21):INDIRECT(V21)),0))</f>
        <v>771654</v>
      </c>
      <c r="P21" s="123">
        <f t="shared" ca="1" si="5"/>
        <v>5</v>
      </c>
      <c r="Q21" s="1">
        <f t="shared" si="12"/>
        <v>66</v>
      </c>
      <c r="R21" s="1">
        <f t="shared" si="0"/>
        <v>77</v>
      </c>
      <c r="S21" s="1" t="str">
        <f t="shared" si="6"/>
        <v>f66</v>
      </c>
      <c r="T21" s="1" t="str">
        <f t="shared" si="6"/>
        <v>f77</v>
      </c>
      <c r="U21" s="1" t="str">
        <f t="shared" si="1"/>
        <v>G66</v>
      </c>
      <c r="V21" s="1" t="str">
        <f t="shared" si="1"/>
        <v>G77</v>
      </c>
    </row>
    <row r="22" spans="1:22">
      <c r="A22" s="335">
        <f t="shared" si="7"/>
        <v>5</v>
      </c>
      <c r="B22" s="340">
        <f t="shared" si="13"/>
        <v>46419</v>
      </c>
      <c r="C22" s="336">
        <f t="shared" ca="1" si="8"/>
        <v>17952557.704399999</v>
      </c>
      <c r="D22" s="335"/>
      <c r="E22" s="336">
        <f t="shared" ca="1" si="9"/>
        <v>123620.72727272728</v>
      </c>
      <c r="F22" s="336">
        <f t="shared" ca="1" si="2"/>
        <v>49333.490272727286</v>
      </c>
      <c r="G22" s="343">
        <f t="shared" ca="1" si="10"/>
        <v>74287.236999999994</v>
      </c>
      <c r="H22" s="336">
        <f t="shared" ca="1" si="11"/>
        <v>17903224.2141</v>
      </c>
      <c r="I22" s="337">
        <f t="shared" ca="1" si="3"/>
        <v>-17903224</v>
      </c>
      <c r="J22" s="338">
        <v>6</v>
      </c>
      <c r="K22" s="339">
        <f ca="1">'Itemized Costs-HIDDEN'!M10-INDIRECT("'Sch3-Perf Period Cash Flow'!I"&amp;7&amp;"")</f>
        <v>1641951</v>
      </c>
      <c r="L22" s="469">
        <v>140705</v>
      </c>
      <c r="M22" s="122">
        <f t="shared" ca="1" si="4"/>
        <v>1501246</v>
      </c>
      <c r="N22" s="122">
        <f ca="1">ROUND(SUM(INDIRECT(S22):INDIRECT(T22)),0)</f>
        <v>766152</v>
      </c>
      <c r="O22" s="122">
        <f ca="1">IF(N22=0,0,ROUND(SUM(INDIRECT(U22):INDIRECT(V22)),0))</f>
        <v>735094</v>
      </c>
      <c r="P22" s="123">
        <f t="shared" ca="1" si="5"/>
        <v>6</v>
      </c>
      <c r="Q22" s="1">
        <f t="shared" si="12"/>
        <v>78</v>
      </c>
      <c r="R22" s="1">
        <f t="shared" si="0"/>
        <v>89</v>
      </c>
      <c r="S22" s="1" t="str">
        <f t="shared" si="6"/>
        <v>f78</v>
      </c>
      <c r="T22" s="1" t="str">
        <f t="shared" si="6"/>
        <v>f89</v>
      </c>
      <c r="U22" s="1" t="str">
        <f t="shared" si="1"/>
        <v>G78</v>
      </c>
      <c r="V22" s="1" t="str">
        <f t="shared" si="1"/>
        <v>G89</v>
      </c>
    </row>
    <row r="23" spans="1:22">
      <c r="A23" s="335">
        <f t="shared" si="7"/>
        <v>6</v>
      </c>
      <c r="B23" s="340">
        <f t="shared" si="13"/>
        <v>46447</v>
      </c>
      <c r="C23" s="336">
        <f t="shared" ca="1" si="8"/>
        <v>17903224.2141</v>
      </c>
      <c r="D23" s="335"/>
      <c r="E23" s="336">
        <f t="shared" ca="1" si="9"/>
        <v>123620.72727272728</v>
      </c>
      <c r="F23" s="336">
        <f t="shared" ca="1" si="2"/>
        <v>49539.046272727282</v>
      </c>
      <c r="G23" s="343">
        <f t="shared" ca="1" si="10"/>
        <v>74081.680999999997</v>
      </c>
      <c r="H23" s="336">
        <f t="shared" ca="1" si="11"/>
        <v>17853685.167800002</v>
      </c>
      <c r="I23" s="337">
        <f t="shared" ca="1" si="3"/>
        <v>-17853685</v>
      </c>
      <c r="J23" s="338">
        <v>7</v>
      </c>
      <c r="K23" s="339">
        <f ca="1">'Itemized Costs-HIDDEN'!M11-INDIRECT("'Sch3-Perf Period Cash Flow'!J"&amp;7&amp;"")</f>
        <v>1675669</v>
      </c>
      <c r="L23" s="469">
        <v>143941</v>
      </c>
      <c r="M23" s="122">
        <f t="shared" ca="1" si="4"/>
        <v>1531728</v>
      </c>
      <c r="N23" s="122">
        <f ca="1">ROUND(SUM(INDIRECT(S23):INDIRECT(T23)),0)</f>
        <v>836604</v>
      </c>
      <c r="O23" s="122">
        <f ca="1">IF(N23=0,0,ROUND(SUM(INDIRECT(U23):INDIRECT(V23)),0))</f>
        <v>695124</v>
      </c>
      <c r="P23" s="123">
        <f t="shared" ca="1" si="5"/>
        <v>7</v>
      </c>
      <c r="Q23" s="1">
        <f t="shared" si="12"/>
        <v>90</v>
      </c>
      <c r="R23" s="1">
        <f t="shared" si="0"/>
        <v>101</v>
      </c>
      <c r="S23" s="1" t="str">
        <f t="shared" si="6"/>
        <v>f90</v>
      </c>
      <c r="T23" s="1" t="str">
        <f t="shared" si="6"/>
        <v>f101</v>
      </c>
      <c r="U23" s="1" t="str">
        <f t="shared" si="1"/>
        <v>G90</v>
      </c>
      <c r="V23" s="1" t="str">
        <f t="shared" si="1"/>
        <v>G101</v>
      </c>
    </row>
    <row r="24" spans="1:22">
      <c r="A24" s="335">
        <f t="shared" si="7"/>
        <v>7</v>
      </c>
      <c r="B24" s="340">
        <f t="shared" si="13"/>
        <v>46478</v>
      </c>
      <c r="C24" s="336">
        <f t="shared" ca="1" si="8"/>
        <v>17853685.167800002</v>
      </c>
      <c r="D24" s="335"/>
      <c r="E24" s="336">
        <f t="shared" ca="1" si="9"/>
        <v>123620.72727272728</v>
      </c>
      <c r="F24" s="336">
        <f t="shared" ca="1" si="2"/>
        <v>49745.458272727279</v>
      </c>
      <c r="G24" s="343">
        <f t="shared" ca="1" si="10"/>
        <v>73875.269</v>
      </c>
      <c r="H24" s="336">
        <f t="shared" ca="1" si="11"/>
        <v>17803939.7095</v>
      </c>
      <c r="I24" s="337">
        <f t="shared" ca="1" si="3"/>
        <v>-17803940</v>
      </c>
      <c r="J24" s="338">
        <v>8</v>
      </c>
      <c r="K24" s="339">
        <f ca="1">'Itemized Costs-HIDDEN'!M12-INDIRECT("'Sch3-Perf Period Cash Flow'!K"&amp;7&amp;"")</f>
        <v>1710246</v>
      </c>
      <c r="L24" s="469">
        <v>147252</v>
      </c>
      <c r="M24" s="122">
        <f t="shared" ca="1" si="4"/>
        <v>1562994</v>
      </c>
      <c r="N24" s="122">
        <f ca="1">ROUND(SUM(INDIRECT(S24):INDIRECT(T24)),0)</f>
        <v>911465</v>
      </c>
      <c r="O24" s="122">
        <f ca="1">IF(N24=0,0,ROUND(SUM(INDIRECT(U24):INDIRECT(V24)),0))</f>
        <v>651529</v>
      </c>
      <c r="P24" s="123">
        <f t="shared" ca="1" si="5"/>
        <v>8</v>
      </c>
      <c r="Q24" s="1">
        <f t="shared" si="12"/>
        <v>102</v>
      </c>
      <c r="R24" s="1">
        <f t="shared" si="0"/>
        <v>113</v>
      </c>
      <c r="S24" s="1" t="str">
        <f t="shared" si="6"/>
        <v>f102</v>
      </c>
      <c r="T24" s="1" t="str">
        <f t="shared" si="6"/>
        <v>f113</v>
      </c>
      <c r="U24" s="1" t="str">
        <f t="shared" si="1"/>
        <v>G102</v>
      </c>
      <c r="V24" s="1" t="str">
        <f t="shared" si="1"/>
        <v>G113</v>
      </c>
    </row>
    <row r="25" spans="1:22">
      <c r="A25" s="335">
        <f t="shared" si="7"/>
        <v>8</v>
      </c>
      <c r="B25" s="340">
        <f t="shared" si="13"/>
        <v>46508</v>
      </c>
      <c r="C25" s="336">
        <f t="shared" ca="1" si="8"/>
        <v>17803939.7095</v>
      </c>
      <c r="D25" s="335"/>
      <c r="E25" s="336">
        <f t="shared" ca="1" si="9"/>
        <v>123620.72727272728</v>
      </c>
      <c r="F25" s="336">
        <f t="shared" ca="1" si="2"/>
        <v>49952.73127272728</v>
      </c>
      <c r="G25" s="343">
        <f t="shared" ca="1" si="10"/>
        <v>73667.995999999999</v>
      </c>
      <c r="H25" s="336">
        <f t="shared" ca="1" si="11"/>
        <v>17753986.9782</v>
      </c>
      <c r="I25" s="337">
        <f t="shared" ca="1" si="3"/>
        <v>-17753987</v>
      </c>
      <c r="J25" s="338">
        <v>9</v>
      </c>
      <c r="K25" s="339">
        <f ca="1">'Itemized Costs-HIDDEN'!M13-INDIRECT("'Sch3-Perf Period Cash Flow'!L"&amp;7&amp;"")</f>
        <v>1745709</v>
      </c>
      <c r="L25" s="469">
        <v>150639</v>
      </c>
      <c r="M25" s="122">
        <f t="shared" ca="1" si="4"/>
        <v>1595070</v>
      </c>
      <c r="N25" s="122">
        <f ca="1">ROUND(SUM(INDIRECT(S25):INDIRECT(T25)),0)</f>
        <v>990987</v>
      </c>
      <c r="O25" s="122">
        <f ca="1">IF(N25=0,0,ROUND(SUM(INDIRECT(U25):INDIRECT(V25)),0))</f>
        <v>604083</v>
      </c>
      <c r="P25" s="123">
        <f t="shared" ca="1" si="5"/>
        <v>9</v>
      </c>
      <c r="Q25" s="1">
        <f t="shared" si="12"/>
        <v>114</v>
      </c>
      <c r="R25" s="1">
        <f t="shared" si="0"/>
        <v>125</v>
      </c>
      <c r="S25" s="1" t="str">
        <f t="shared" si="6"/>
        <v>f114</v>
      </c>
      <c r="T25" s="1" t="str">
        <f t="shared" si="6"/>
        <v>f125</v>
      </c>
      <c r="U25" s="1" t="str">
        <f t="shared" si="1"/>
        <v>G114</v>
      </c>
      <c r="V25" s="1" t="str">
        <f t="shared" si="1"/>
        <v>G125</v>
      </c>
    </row>
    <row r="26" spans="1:22">
      <c r="A26" s="335">
        <f t="shared" si="7"/>
        <v>9</v>
      </c>
      <c r="B26" s="340">
        <f t="shared" si="13"/>
        <v>46539</v>
      </c>
      <c r="C26" s="336">
        <f t="shared" ca="1" si="8"/>
        <v>17753986.9782</v>
      </c>
      <c r="D26" s="335"/>
      <c r="E26" s="336">
        <f t="shared" ca="1" si="9"/>
        <v>123620.72727272728</v>
      </c>
      <c r="F26" s="336">
        <f t="shared" ca="1" si="2"/>
        <v>50160.868272727283</v>
      </c>
      <c r="G26" s="343">
        <f t="shared" ca="1" si="10"/>
        <v>73459.858999999997</v>
      </c>
      <c r="H26" s="336">
        <f t="shared" ca="1" si="11"/>
        <v>17703826.109900001</v>
      </c>
      <c r="I26" s="337">
        <f t="shared" ca="1" si="3"/>
        <v>-17703826</v>
      </c>
      <c r="J26" s="338">
        <v>10</v>
      </c>
      <c r="K26" s="339">
        <f ca="1">'Itemized Costs-HIDDEN'!M14-INDIRECT("'Sch3-Perf Period Cash Flow'!M"&amp;7&amp;"")</f>
        <v>1782085</v>
      </c>
      <c r="L26" s="469">
        <v>154103</v>
      </c>
      <c r="M26" s="122">
        <f t="shared" ca="1" si="4"/>
        <v>1627982</v>
      </c>
      <c r="N26" s="122">
        <f ca="1">ROUND(SUM(INDIRECT(S26):INDIRECT(T26)),0)</f>
        <v>1075434</v>
      </c>
      <c r="O26" s="122">
        <f ca="1">IF(N26=0,0,ROUND(SUM(INDIRECT(U26):INDIRECT(V26)),0))</f>
        <v>552548</v>
      </c>
      <c r="P26" s="123">
        <f t="shared" ca="1" si="5"/>
        <v>10</v>
      </c>
      <c r="Q26" s="1">
        <f t="shared" si="12"/>
        <v>126</v>
      </c>
      <c r="R26" s="1">
        <f t="shared" si="0"/>
        <v>137</v>
      </c>
      <c r="S26" s="1" t="str">
        <f t="shared" si="6"/>
        <v>f126</v>
      </c>
      <c r="T26" s="1" t="str">
        <f t="shared" si="6"/>
        <v>f137</v>
      </c>
      <c r="U26" s="1" t="str">
        <f t="shared" si="1"/>
        <v>G126</v>
      </c>
      <c r="V26" s="1" t="str">
        <f t="shared" si="1"/>
        <v>G137</v>
      </c>
    </row>
    <row r="27" spans="1:22">
      <c r="A27" s="335">
        <f t="shared" si="7"/>
        <v>10</v>
      </c>
      <c r="B27" s="340">
        <f t="shared" si="13"/>
        <v>46569</v>
      </c>
      <c r="C27" s="336">
        <f t="shared" ca="1" si="8"/>
        <v>17703826.109900001</v>
      </c>
      <c r="D27" s="335"/>
      <c r="E27" s="336">
        <f t="shared" ca="1" si="9"/>
        <v>123620.72727272728</v>
      </c>
      <c r="F27" s="336">
        <f t="shared" ca="1" si="2"/>
        <v>50369.87127272728</v>
      </c>
      <c r="G27" s="343">
        <f t="shared" ca="1" si="10"/>
        <v>73250.856</v>
      </c>
      <c r="H27" s="336">
        <f t="shared" ca="1" si="11"/>
        <v>17653456.238600001</v>
      </c>
      <c r="I27" s="337">
        <f t="shared" ca="1" si="3"/>
        <v>-17653456</v>
      </c>
      <c r="J27" s="338">
        <v>11</v>
      </c>
      <c r="K27" s="339">
        <f ca="1">'Itemized Costs-HIDDEN'!M15-INDIRECT("'Sch3-Perf Period Cash Flow'!N"&amp;7&amp;"")</f>
        <v>1819401</v>
      </c>
      <c r="L27" s="469">
        <v>157647</v>
      </c>
      <c r="M27" s="122">
        <f t="shared" ca="1" si="4"/>
        <v>1661754</v>
      </c>
      <c r="N27" s="122">
        <f ca="1">ROUND(SUM(INDIRECT(S27):INDIRECT(T27)),0)</f>
        <v>1165083</v>
      </c>
      <c r="O27" s="122">
        <f ca="1">IF(N27=0,0,ROUND(SUM(INDIRECT(U27):INDIRECT(V27)),0))</f>
        <v>496671</v>
      </c>
      <c r="P27" s="123">
        <f t="shared" ca="1" si="5"/>
        <v>11</v>
      </c>
      <c r="Q27" s="1">
        <f t="shared" si="12"/>
        <v>138</v>
      </c>
      <c r="R27" s="1">
        <f t="shared" si="0"/>
        <v>149</v>
      </c>
      <c r="S27" s="1" t="str">
        <f t="shared" si="6"/>
        <v>f138</v>
      </c>
      <c r="T27" s="1" t="str">
        <f t="shared" si="6"/>
        <v>f149</v>
      </c>
      <c r="U27" s="1" t="str">
        <f t="shared" si="1"/>
        <v>G138</v>
      </c>
      <c r="V27" s="1" t="str">
        <f t="shared" si="1"/>
        <v>G149</v>
      </c>
    </row>
    <row r="28" spans="1:22">
      <c r="A28" s="335">
        <f t="shared" si="7"/>
        <v>11</v>
      </c>
      <c r="B28" s="340">
        <f t="shared" si="13"/>
        <v>46600</v>
      </c>
      <c r="C28" s="336">
        <f t="shared" ca="1" si="8"/>
        <v>17653456.238600001</v>
      </c>
      <c r="D28" s="335"/>
      <c r="E28" s="336">
        <f t="shared" ca="1" si="9"/>
        <v>123620.72727272728</v>
      </c>
      <c r="F28" s="336">
        <f t="shared" ca="1" si="2"/>
        <v>50579.74627272728</v>
      </c>
      <c r="G28" s="343">
        <f t="shared" ca="1" si="10"/>
        <v>73040.981</v>
      </c>
      <c r="H28" s="336">
        <f ca="1">IF(E28="","",ROUND(H27-F28,4))</f>
        <v>17602876.4923</v>
      </c>
      <c r="I28" s="337">
        <f t="shared" ca="1" si="3"/>
        <v>-17602876</v>
      </c>
      <c r="J28" s="338">
        <v>12</v>
      </c>
      <c r="K28" s="339">
        <f ca="1">'Itemized Costs-HIDDEN'!M16-INDIRECT("'Sch3-Perf Period Cash Flow'!O"&amp;7&amp;"")</f>
        <v>1857686</v>
      </c>
      <c r="L28" s="469">
        <v>161274</v>
      </c>
      <c r="M28" s="122">
        <f t="shared" ca="1" si="4"/>
        <v>1696412</v>
      </c>
      <c r="N28" s="122">
        <f ca="1">ROUND(SUM(INDIRECT(S28):INDIRECT(T28)),0)</f>
        <v>1260228</v>
      </c>
      <c r="O28" s="122">
        <f ca="1">IF(N28=0,0,ROUND(SUM(INDIRECT(U28):INDIRECT(V28)),0))</f>
        <v>436184</v>
      </c>
      <c r="P28" s="123">
        <f t="shared" ca="1" si="5"/>
        <v>12</v>
      </c>
      <c r="Q28" s="1">
        <f t="shared" si="12"/>
        <v>150</v>
      </c>
      <c r="R28" s="1">
        <f t="shared" si="0"/>
        <v>161</v>
      </c>
      <c r="S28" s="1" t="str">
        <f t="shared" si="6"/>
        <v>f150</v>
      </c>
      <c r="T28" s="1" t="str">
        <f t="shared" si="6"/>
        <v>f161</v>
      </c>
      <c r="U28" s="1" t="str">
        <f t="shared" si="1"/>
        <v>G150</v>
      </c>
      <c r="V28" s="1" t="str">
        <f t="shared" si="1"/>
        <v>G161</v>
      </c>
    </row>
    <row r="29" spans="1:22">
      <c r="A29" s="335">
        <f t="shared" si="7"/>
        <v>12</v>
      </c>
      <c r="B29" s="340">
        <f t="shared" si="13"/>
        <v>46631</v>
      </c>
      <c r="C29" s="336">
        <f t="shared" ca="1" si="8"/>
        <v>17602876.4923</v>
      </c>
      <c r="D29" s="336">
        <f ca="1">IF(H29&lt;0,0,(K18-L18)/11)</f>
        <v>126065.18181818182</v>
      </c>
      <c r="E29" s="336">
        <f t="shared" ca="1" si="9"/>
        <v>123620.72727272728</v>
      </c>
      <c r="F29" s="336">
        <f ca="1">IF(E29="","",E29-G29)</f>
        <v>50790.495272727276</v>
      </c>
      <c r="G29" s="343">
        <f t="shared" ca="1" si="10"/>
        <v>72830.232000000004</v>
      </c>
      <c r="H29" s="336">
        <f ca="1">IF(E29="","",ROUND(H28-F29,4))</f>
        <v>17552085.997000001</v>
      </c>
      <c r="I29" s="337">
        <f t="shared" ca="1" si="3"/>
        <v>-17426021</v>
      </c>
      <c r="J29" s="338">
        <v>13</v>
      </c>
      <c r="K29" s="339">
        <f ca="1">'Itemized Costs-HIDDEN'!M17-INDIRECT("'Sch3-Perf Period Cash Flow'!P"&amp;7&amp;"")</f>
        <v>1896968</v>
      </c>
      <c r="L29" s="469">
        <v>164983</v>
      </c>
      <c r="M29" s="122">
        <f t="shared" ca="1" si="4"/>
        <v>1731985</v>
      </c>
      <c r="N29" s="122">
        <f ca="1">ROUND(SUM(INDIRECT(S29):INDIRECT(T29)),0)</f>
        <v>1361178</v>
      </c>
      <c r="O29" s="122">
        <f ca="1">IF(N29=0,0,ROUND(SUM(INDIRECT(U29):INDIRECT(V29)),0))</f>
        <v>370807</v>
      </c>
      <c r="P29" s="123">
        <f t="shared" ca="1" si="5"/>
        <v>13</v>
      </c>
      <c r="Q29" s="1">
        <f t="shared" si="12"/>
        <v>162</v>
      </c>
      <c r="R29" s="1">
        <f t="shared" si="0"/>
        <v>173</v>
      </c>
      <c r="S29" s="1" t="str">
        <f t="shared" si="6"/>
        <v>f162</v>
      </c>
      <c r="T29" s="1" t="str">
        <f t="shared" si="6"/>
        <v>f173</v>
      </c>
      <c r="U29" s="1" t="str">
        <f t="shared" si="1"/>
        <v>G162</v>
      </c>
      <c r="V29" s="1" t="str">
        <f t="shared" si="1"/>
        <v>G173</v>
      </c>
    </row>
    <row r="30" spans="1:22">
      <c r="A30" s="335">
        <f t="shared" si="7"/>
        <v>13</v>
      </c>
      <c r="B30" s="340">
        <f t="shared" si="13"/>
        <v>46661</v>
      </c>
      <c r="C30" s="336">
        <f t="shared" ca="1" si="8"/>
        <v>17552085.997000001</v>
      </c>
      <c r="D30" s="335"/>
      <c r="E30" s="336">
        <f t="shared" ref="E30:E41" si="14">IF($D$10=1,
 IF(OR(MONTH(B30)=MONTH(EDATE($D$7,0)),MONTH(B30)=MONTH(EDATE($D$7,1)),MONTH(B30)=MONTH(EDATE($D$7,2)),MONTH(B30)=MONTH(EDATE($D$7,3)), MONTH(B30)=MONTH(EDATE($D$7,4)),MONTH(B30)=MONTH(EDATE($D$7,5)),MONTH(B30)=MONTH(EDATE($D$7,6)),MONTH(B30)=MONTH(EDATE($D$7,7)),MONTH(B30)=MONTH(EDATE($D$7,8)),MONTH(B30)=MONTH(EDATE($D$7,9)),MONTH(B30)=MONTH(EDATE($D$7,10))),(MIN($D$29,H29)),0),
IF($D$10=0,
 IF(OR(MONTH(B30)=MONTH(EDATE($D$7,1)),MONTH(B30)=MONTH(EDATE($D$7,2)),MONTH(B30)=MONTH(EDATE($D$7,3)),MONTH(B30)=MONTH(EDATE($D$7,4)), MONTH(B30)=MONTH(EDATE($D$7,5)),MONTH(B30)=MONTH(EDATE($D$7,6)),MONTH(B30)=MONTH(EDATE($D$7,7)),MONTH(B30)=MONTH(EDATE($D$7,8)),MONTH(B30)=MONTH(EDATE($D$7,9)),MONTH(B30)=MONTH(EDATE($D$7,10)),MONTH(B30)=MONTH(EDATE($D$7,11))),(MIN($D$29,H29)),0)))</f>
        <v>0</v>
      </c>
      <c r="F30" s="336">
        <f t="shared" ca="1" si="2"/>
        <v>-73133.691999999995</v>
      </c>
      <c r="G30" s="343">
        <f t="shared" ca="1" si="10"/>
        <v>73133.691999999995</v>
      </c>
      <c r="H30" s="336">
        <f t="shared" ca="1" si="11"/>
        <v>17625219.688999999</v>
      </c>
      <c r="I30" s="337">
        <f t="shared" ca="1" si="3"/>
        <v>-17625220</v>
      </c>
      <c r="J30" s="338">
        <v>14</v>
      </c>
      <c r="K30" s="339">
        <f ca="1">'Itemized Costs-HIDDEN'!M18-INDIRECT("'Sch3-Perf Period Cash Flow'!Q"&amp;7&amp;"")</f>
        <v>1937280</v>
      </c>
      <c r="L30" s="469">
        <v>168778</v>
      </c>
      <c r="M30" s="122">
        <f t="shared" ca="1" si="4"/>
        <v>1768502</v>
      </c>
      <c r="N30" s="122">
        <f ca="1">ROUND(SUM(INDIRECT(S30):INDIRECT(T30)),0)</f>
        <v>1468261</v>
      </c>
      <c r="O30" s="122">
        <f ca="1">IF(N30=0,0,ROUND(SUM(INDIRECT(U30):INDIRECT(V30)),0))</f>
        <v>300241</v>
      </c>
      <c r="P30" s="123">
        <f t="shared" ca="1" si="5"/>
        <v>14</v>
      </c>
      <c r="Q30" s="1">
        <f t="shared" si="12"/>
        <v>174</v>
      </c>
      <c r="R30" s="1">
        <f t="shared" si="0"/>
        <v>185</v>
      </c>
      <c r="S30" s="1" t="str">
        <f t="shared" si="6"/>
        <v>f174</v>
      </c>
      <c r="T30" s="1" t="str">
        <f t="shared" si="6"/>
        <v>f185</v>
      </c>
      <c r="U30" s="1" t="str">
        <f t="shared" si="1"/>
        <v>G174</v>
      </c>
      <c r="V30" s="1" t="str">
        <f t="shared" si="1"/>
        <v>G185</v>
      </c>
    </row>
    <row r="31" spans="1:22">
      <c r="A31" s="335">
        <f t="shared" si="7"/>
        <v>14</v>
      </c>
      <c r="B31" s="340">
        <f t="shared" si="13"/>
        <v>46692</v>
      </c>
      <c r="C31" s="336">
        <f t="shared" ca="1" si="8"/>
        <v>17625219.688999999</v>
      </c>
      <c r="D31" s="335"/>
      <c r="E31" s="336">
        <f t="shared" ca="1" si="14"/>
        <v>126065.18181818182</v>
      </c>
      <c r="F31" s="336">
        <f t="shared" ca="1" si="2"/>
        <v>53152.037818181823</v>
      </c>
      <c r="G31" s="343">
        <f t="shared" ca="1" si="10"/>
        <v>72913.144</v>
      </c>
      <c r="H31" s="336">
        <f t="shared" ca="1" si="11"/>
        <v>17572067.6512</v>
      </c>
      <c r="I31" s="337">
        <f t="shared" ca="1" si="3"/>
        <v>-17572068</v>
      </c>
      <c r="J31" s="338">
        <v>15</v>
      </c>
      <c r="K31" s="339">
        <f ca="1">'Itemized Costs-HIDDEN'!M19-INDIRECT("'Sch3-Perf Period Cash Flow'!R"&amp;7&amp;"")</f>
        <v>1978652</v>
      </c>
      <c r="L31" s="469">
        <v>172659</v>
      </c>
      <c r="M31" s="122">
        <f t="shared" ca="1" si="4"/>
        <v>1805993</v>
      </c>
      <c r="N31" s="122">
        <f ca="1">ROUND(SUM(INDIRECT(S31):INDIRECT(T31)),0)</f>
        <v>1581822</v>
      </c>
      <c r="O31" s="122">
        <f ca="1">IF(N31=0,0,ROUND(SUM(INDIRECT(U31):INDIRECT(V31)),0))</f>
        <v>224171</v>
      </c>
      <c r="P31" s="123">
        <f t="shared" ca="1" si="5"/>
        <v>15</v>
      </c>
      <c r="Q31" s="1">
        <f t="shared" si="12"/>
        <v>186</v>
      </c>
      <c r="R31" s="1">
        <f t="shared" si="0"/>
        <v>197</v>
      </c>
      <c r="S31" s="1" t="str">
        <f t="shared" si="6"/>
        <v>f186</v>
      </c>
      <c r="T31" s="1" t="str">
        <f t="shared" si="6"/>
        <v>f197</v>
      </c>
      <c r="U31" s="1" t="str">
        <f t="shared" si="1"/>
        <v>G186</v>
      </c>
      <c r="V31" s="1" t="str">
        <f t="shared" si="1"/>
        <v>G197</v>
      </c>
    </row>
    <row r="32" spans="1:22">
      <c r="A32" s="335">
        <f t="shared" si="7"/>
        <v>15</v>
      </c>
      <c r="B32" s="340">
        <f t="shared" si="13"/>
        <v>46722</v>
      </c>
      <c r="C32" s="336">
        <f t="shared" ca="1" si="8"/>
        <v>17572067.6512</v>
      </c>
      <c r="D32" s="335"/>
      <c r="E32" s="336">
        <f t="shared" ca="1" si="14"/>
        <v>126065.18181818182</v>
      </c>
      <c r="F32" s="336">
        <f t="shared" ca="1" si="2"/>
        <v>53373.504818181827</v>
      </c>
      <c r="G32" s="343">
        <f t="shared" ca="1" si="10"/>
        <v>72691.676999999996</v>
      </c>
      <c r="H32" s="336">
        <f t="shared" ca="1" si="11"/>
        <v>17518694.146400001</v>
      </c>
      <c r="I32" s="337">
        <f t="shared" ca="1" si="3"/>
        <v>-17518694</v>
      </c>
      <c r="J32" s="338">
        <v>16</v>
      </c>
      <c r="K32" s="339">
        <f ca="1">'Itemized Costs-HIDDEN'!M20-INDIRECT("'Sch3-Perf Period Cash Flow'!S"&amp;7&amp;"")</f>
        <v>2021116</v>
      </c>
      <c r="L32" s="469">
        <v>176631</v>
      </c>
      <c r="M32" s="122">
        <f t="shared" ca="1" si="4"/>
        <v>1844485</v>
      </c>
      <c r="N32" s="122">
        <f ca="1">ROUND(SUM(INDIRECT(S32):INDIRECT(T32)),0)</f>
        <v>1702218</v>
      </c>
      <c r="O32" s="122">
        <f ca="1">IF(N32=0,0,ROUND(SUM(INDIRECT(U32):INDIRECT(V32)),0))</f>
        <v>142267</v>
      </c>
      <c r="P32" s="123">
        <f t="shared" ca="1" si="5"/>
        <v>16</v>
      </c>
      <c r="Q32" s="1">
        <f t="shared" si="12"/>
        <v>198</v>
      </c>
      <c r="R32" s="1">
        <f t="shared" si="0"/>
        <v>209</v>
      </c>
      <c r="S32" s="1" t="str">
        <f t="shared" si="6"/>
        <v>f198</v>
      </c>
      <c r="T32" s="1" t="str">
        <f t="shared" si="6"/>
        <v>f209</v>
      </c>
      <c r="U32" s="1" t="str">
        <f t="shared" si="1"/>
        <v>G198</v>
      </c>
      <c r="V32" s="1" t="str">
        <f t="shared" si="1"/>
        <v>G209</v>
      </c>
    </row>
    <row r="33" spans="1:22">
      <c r="A33" s="335">
        <f t="shared" si="7"/>
        <v>16</v>
      </c>
      <c r="B33" s="340">
        <f t="shared" si="13"/>
        <v>46753</v>
      </c>
      <c r="C33" s="336">
        <f t="shared" ca="1" si="8"/>
        <v>17518694.146400001</v>
      </c>
      <c r="D33" s="335"/>
      <c r="E33" s="336">
        <f t="shared" ca="1" si="14"/>
        <v>126065.18181818182</v>
      </c>
      <c r="F33" s="336">
        <f t="shared" ca="1" si="2"/>
        <v>53595.894818181827</v>
      </c>
      <c r="G33" s="343">
        <f t="shared" ca="1" si="10"/>
        <v>72469.286999999997</v>
      </c>
      <c r="H33" s="336">
        <f t="shared" ca="1" si="11"/>
        <v>17465098.251600001</v>
      </c>
      <c r="I33" s="337">
        <f t="shared" ca="1" si="3"/>
        <v>-17465098</v>
      </c>
      <c r="J33" s="338">
        <v>17</v>
      </c>
      <c r="K33" s="339">
        <f ca="1">'Itemized Costs-HIDDEN'!M21-INDIRECT("'Sch3-Perf Period Cash Flow'!T"&amp;7&amp;"")</f>
        <v>2064707</v>
      </c>
      <c r="L33" s="469">
        <v>180694</v>
      </c>
      <c r="M33" s="122">
        <f t="shared" ca="1" si="4"/>
        <v>1884013</v>
      </c>
      <c r="N33" s="122">
        <f ca="1">ROUND(SUM(INDIRECT(S33):INDIRECT(T33)),0)</f>
        <v>1829837</v>
      </c>
      <c r="O33" s="122">
        <f ca="1">IF(N33=0,0,ROUND(SUM(INDIRECT(U33):INDIRECT(V33)),0))</f>
        <v>54176</v>
      </c>
      <c r="P33" s="123">
        <f t="shared" ca="1" si="5"/>
        <v>17</v>
      </c>
      <c r="Q33" s="1">
        <f t="shared" si="12"/>
        <v>210</v>
      </c>
      <c r="R33" s="1">
        <f t="shared" si="0"/>
        <v>221</v>
      </c>
      <c r="S33" s="1" t="str">
        <f t="shared" si="6"/>
        <v>f210</v>
      </c>
      <c r="T33" s="1" t="str">
        <f t="shared" si="6"/>
        <v>f221</v>
      </c>
      <c r="U33" s="1" t="str">
        <f t="shared" ref="U33:V40" si="15">CONCATENATE("G",Q33)</f>
        <v>G210</v>
      </c>
      <c r="V33" s="1" t="str">
        <f t="shared" si="15"/>
        <v>G221</v>
      </c>
    </row>
    <row r="34" spans="1:22">
      <c r="A34" s="335">
        <f t="shared" si="7"/>
        <v>17</v>
      </c>
      <c r="B34" s="340">
        <f t="shared" si="13"/>
        <v>46784</v>
      </c>
      <c r="C34" s="336">
        <f t="shared" ca="1" si="8"/>
        <v>17465098.251600001</v>
      </c>
      <c r="D34" s="335"/>
      <c r="E34" s="336">
        <f t="shared" ca="1" si="14"/>
        <v>126065.18181818182</v>
      </c>
      <c r="F34" s="336">
        <f t="shared" ca="1" si="2"/>
        <v>53819.210818181818</v>
      </c>
      <c r="G34" s="343">
        <f t="shared" ca="1" si="10"/>
        <v>72245.971000000005</v>
      </c>
      <c r="H34" s="336">
        <f t="shared" ca="1" si="11"/>
        <v>17411279.040800001</v>
      </c>
      <c r="I34" s="337">
        <f t="shared" ca="1" si="3"/>
        <v>-17411279</v>
      </c>
      <c r="J34" s="338">
        <v>18</v>
      </c>
      <c r="K34" s="339">
        <f ca="1">'Itemized Costs-HIDDEN'!M22-INDIRECT("'Sch3-Perf Period Cash Flow'!U"&amp;7&amp;"")</f>
        <v>2109460</v>
      </c>
      <c r="L34" s="469">
        <v>184850</v>
      </c>
      <c r="M34" s="122">
        <f t="shared" ca="1" si="4"/>
        <v>163271</v>
      </c>
      <c r="N34" s="122">
        <f ca="1">ROUND(SUM(INDIRECT(S34):INDIRECT(T34)),0)</f>
        <v>162594</v>
      </c>
      <c r="O34" s="122">
        <f ca="1">IF(N34=0,0,ROUND(SUM(INDIRECT(U34):INDIRECT(V34)),0))</f>
        <v>677</v>
      </c>
      <c r="P34" s="123">
        <f t="shared" ca="1" si="5"/>
        <v>18</v>
      </c>
      <c r="Q34" s="1">
        <f t="shared" si="12"/>
        <v>222</v>
      </c>
      <c r="R34" s="1">
        <f t="shared" si="0"/>
        <v>233</v>
      </c>
      <c r="S34" s="1" t="str">
        <f t="shared" si="6"/>
        <v>f222</v>
      </c>
      <c r="T34" s="1" t="str">
        <f t="shared" si="6"/>
        <v>f233</v>
      </c>
      <c r="U34" s="1" t="str">
        <f t="shared" si="15"/>
        <v>G222</v>
      </c>
      <c r="V34" s="1" t="str">
        <f t="shared" si="15"/>
        <v>G233</v>
      </c>
    </row>
    <row r="35" spans="1:22">
      <c r="A35" s="335">
        <f t="shared" si="7"/>
        <v>18</v>
      </c>
      <c r="B35" s="340">
        <f t="shared" si="13"/>
        <v>46813</v>
      </c>
      <c r="C35" s="336">
        <f t="shared" ca="1" si="8"/>
        <v>17411279.040800001</v>
      </c>
      <c r="D35" s="335"/>
      <c r="E35" s="336">
        <f t="shared" ca="1" si="14"/>
        <v>126065.18181818182</v>
      </c>
      <c r="F35" s="336">
        <f t="shared" ca="1" si="2"/>
        <v>54043.457818181821</v>
      </c>
      <c r="G35" s="343">
        <f t="shared" ca="1" si="10"/>
        <v>72021.724000000002</v>
      </c>
      <c r="H35" s="336">
        <f t="shared" ca="1" si="11"/>
        <v>17357235.583000001</v>
      </c>
      <c r="I35" s="337">
        <f t="shared" ca="1" si="3"/>
        <v>-17357236</v>
      </c>
      <c r="J35" s="338">
        <v>19</v>
      </c>
      <c r="K35" s="339">
        <f ca="1">'Itemized Costs-HIDDEN'!M23-INDIRECT("'Sch3-Perf Period Cash Flow'!V"&amp;7&amp;"")</f>
        <v>2155409</v>
      </c>
      <c r="L35" s="469">
        <v>189101</v>
      </c>
      <c r="M35" s="122">
        <f t="shared" ca="1" si="4"/>
        <v>0</v>
      </c>
      <c r="N35" s="122">
        <f ca="1">ROUND(SUM(INDIRECT(S35):INDIRECT(T35)),0)</f>
        <v>0</v>
      </c>
      <c r="O35" s="122">
        <f ca="1">IF(N35=0,0,ROUND(SUM(INDIRECT(U35):INDIRECT(V35)),0))</f>
        <v>0</v>
      </c>
      <c r="P35" s="123" t="str">
        <f t="shared" ca="1" si="5"/>
        <v/>
      </c>
      <c r="Q35" s="1">
        <f t="shared" si="12"/>
        <v>234</v>
      </c>
      <c r="R35" s="1">
        <f>Q35+11</f>
        <v>245</v>
      </c>
      <c r="S35" s="1" t="str">
        <f t="shared" si="6"/>
        <v>f234</v>
      </c>
      <c r="T35" s="1" t="str">
        <f t="shared" si="6"/>
        <v>f245</v>
      </c>
      <c r="U35" s="1" t="str">
        <f t="shared" si="15"/>
        <v>G234</v>
      </c>
      <c r="V35" s="1" t="str">
        <f t="shared" si="15"/>
        <v>G245</v>
      </c>
    </row>
    <row r="36" spans="1:22">
      <c r="A36" s="335">
        <f t="shared" si="7"/>
        <v>19</v>
      </c>
      <c r="B36" s="340">
        <f t="shared" si="13"/>
        <v>46844</v>
      </c>
      <c r="C36" s="336">
        <f t="shared" ca="1" si="8"/>
        <v>17357235.583000001</v>
      </c>
      <c r="D36" s="335"/>
      <c r="E36" s="336">
        <f t="shared" ca="1" si="14"/>
        <v>126065.18181818182</v>
      </c>
      <c r="F36" s="336">
        <f t="shared" ca="1" si="2"/>
        <v>54268.638818181818</v>
      </c>
      <c r="G36" s="343">
        <f t="shared" ca="1" si="10"/>
        <v>71796.543000000005</v>
      </c>
      <c r="H36" s="336">
        <f t="shared" ca="1" si="11"/>
        <v>17302966.944200002</v>
      </c>
      <c r="I36" s="337">
        <f t="shared" ca="1" si="3"/>
        <v>-17302967</v>
      </c>
      <c r="J36" s="338">
        <v>20</v>
      </c>
      <c r="K36" s="339">
        <f ca="1">'Itemized Costs-HIDDEN'!M24-INDIRECT("'Sch3-Perf Period Cash Flow'!W"&amp;7&amp;"")</f>
        <v>2202593</v>
      </c>
      <c r="L36" s="469">
        <v>193450</v>
      </c>
      <c r="M36" s="122">
        <f t="shared" ca="1" si="4"/>
        <v>0</v>
      </c>
      <c r="N36" s="122">
        <f ca="1">ROUND(SUM(INDIRECT(S36):INDIRECT(T36)),0)</f>
        <v>0</v>
      </c>
      <c r="O36" s="122">
        <f ca="1">IF(N36=0,0,ROUND(SUM(INDIRECT(U36):INDIRECT(V36)),0))</f>
        <v>0</v>
      </c>
      <c r="P36" s="123" t="str">
        <f t="shared" ca="1" si="5"/>
        <v/>
      </c>
      <c r="Q36" s="1">
        <f t="shared" si="12"/>
        <v>246</v>
      </c>
      <c r="R36" s="1">
        <f t="shared" ref="R36:R56" si="16">Q36+11</f>
        <v>257</v>
      </c>
      <c r="S36" s="1" t="str">
        <f t="shared" si="6"/>
        <v>f246</v>
      </c>
      <c r="T36" s="1" t="str">
        <f t="shared" si="6"/>
        <v>f257</v>
      </c>
      <c r="U36" s="1" t="str">
        <f t="shared" si="15"/>
        <v>G246</v>
      </c>
      <c r="V36" s="1" t="str">
        <f t="shared" si="15"/>
        <v>G257</v>
      </c>
    </row>
    <row r="37" spans="1:22">
      <c r="A37" s="335">
        <f t="shared" si="7"/>
        <v>20</v>
      </c>
      <c r="B37" s="340">
        <f t="shared" si="13"/>
        <v>46874</v>
      </c>
      <c r="C37" s="336">
        <f t="shared" ca="1" si="8"/>
        <v>17302966.944200002</v>
      </c>
      <c r="D37" s="335"/>
      <c r="E37" s="336">
        <f t="shared" ca="1" si="14"/>
        <v>126065.18181818182</v>
      </c>
      <c r="F37" s="336">
        <f t="shared" ca="1" si="2"/>
        <v>54494.757818181824</v>
      </c>
      <c r="G37" s="343">
        <f t="shared" ca="1" si="10"/>
        <v>71570.423999999999</v>
      </c>
      <c r="H37" s="336">
        <f t="shared" ca="1" si="11"/>
        <v>17248472.1864</v>
      </c>
      <c r="I37" s="337">
        <f t="shared" ca="1" si="3"/>
        <v>-17248472</v>
      </c>
      <c r="J37" s="338">
        <v>21</v>
      </c>
      <c r="K37" s="339">
        <f ca="1">'Itemized Costs-HIDDEN'!M25-INDIRECT("'Sch3-Perf Period Cash Flow'!X"&amp;7&amp;"")</f>
        <v>2251049</v>
      </c>
      <c r="L37" s="469">
        <v>197900</v>
      </c>
      <c r="M37" s="122">
        <f t="shared" ca="1" si="4"/>
        <v>0</v>
      </c>
      <c r="N37" s="122">
        <f ca="1">ROUND(SUM(INDIRECT(S37):INDIRECT(T37)),0)</f>
        <v>0</v>
      </c>
      <c r="O37" s="122">
        <f ca="1">IF(N37=0,0,ROUND(SUM(INDIRECT(U37):INDIRECT(V37)),0))</f>
        <v>0</v>
      </c>
      <c r="P37" s="123" t="str">
        <f t="shared" ca="1" si="5"/>
        <v/>
      </c>
      <c r="Q37" s="1">
        <f t="shared" si="12"/>
        <v>258</v>
      </c>
      <c r="R37" s="1">
        <f t="shared" si="16"/>
        <v>269</v>
      </c>
      <c r="S37" s="1" t="str">
        <f t="shared" si="6"/>
        <v>f258</v>
      </c>
      <c r="T37" s="1" t="str">
        <f t="shared" si="6"/>
        <v>f269</v>
      </c>
      <c r="U37" s="1" t="str">
        <f t="shared" si="15"/>
        <v>G258</v>
      </c>
      <c r="V37" s="1" t="str">
        <f t="shared" si="15"/>
        <v>G269</v>
      </c>
    </row>
    <row r="38" spans="1:22">
      <c r="A38" s="335">
        <f t="shared" si="7"/>
        <v>21</v>
      </c>
      <c r="B38" s="340">
        <f t="shared" si="13"/>
        <v>46905</v>
      </c>
      <c r="C38" s="336">
        <f t="shared" ca="1" si="8"/>
        <v>17248472.1864</v>
      </c>
      <c r="D38" s="335"/>
      <c r="E38" s="336">
        <f t="shared" ca="1" si="14"/>
        <v>126065.18181818182</v>
      </c>
      <c r="F38" s="336">
        <f t="shared" ca="1" si="2"/>
        <v>54721.818818181826</v>
      </c>
      <c r="G38" s="343">
        <f t="shared" ca="1" si="10"/>
        <v>71343.362999999998</v>
      </c>
      <c r="H38" s="336">
        <f t="shared" ca="1" si="11"/>
        <v>17193750.367600001</v>
      </c>
      <c r="I38" s="337">
        <f t="shared" ca="1" si="3"/>
        <v>-17193750</v>
      </c>
      <c r="J38" s="338">
        <v>22</v>
      </c>
      <c r="K38" s="339">
        <f ca="1">'Itemized Costs-HIDDEN'!M26-INDIRECT("'Sch3-Perf Period Cash Flow'!Y"&amp;7&amp;"")</f>
        <v>2300818</v>
      </c>
      <c r="L38" s="469">
        <v>202451</v>
      </c>
      <c r="M38" s="122">
        <f t="shared" ca="1" si="4"/>
        <v>0</v>
      </c>
      <c r="N38" s="122">
        <f ca="1">ROUND(SUM(INDIRECT(S38):INDIRECT(T38)),0)</f>
        <v>0</v>
      </c>
      <c r="O38" s="122">
        <f ca="1">IF(N38=0,0,ROUND(SUM(INDIRECT(U38):INDIRECT(V38)),0))</f>
        <v>0</v>
      </c>
      <c r="P38" s="123" t="str">
        <f t="shared" ca="1" si="5"/>
        <v/>
      </c>
      <c r="Q38" s="1">
        <f t="shared" si="12"/>
        <v>270</v>
      </c>
      <c r="R38" s="1">
        <f t="shared" si="16"/>
        <v>281</v>
      </c>
      <c r="S38" s="1" t="str">
        <f t="shared" si="6"/>
        <v>f270</v>
      </c>
      <c r="T38" s="1" t="str">
        <f t="shared" si="6"/>
        <v>f281</v>
      </c>
      <c r="U38" s="1" t="str">
        <f t="shared" si="15"/>
        <v>G270</v>
      </c>
      <c r="V38" s="1" t="str">
        <f t="shared" si="15"/>
        <v>G281</v>
      </c>
    </row>
    <row r="39" spans="1:22">
      <c r="A39" s="335">
        <f t="shared" si="7"/>
        <v>22</v>
      </c>
      <c r="B39" s="340">
        <f t="shared" si="13"/>
        <v>46935</v>
      </c>
      <c r="C39" s="336">
        <f t="shared" ca="1" si="8"/>
        <v>17193750.367600001</v>
      </c>
      <c r="D39" s="335"/>
      <c r="E39" s="336">
        <f t="shared" ca="1" si="14"/>
        <v>126065.18181818182</v>
      </c>
      <c r="F39" s="336">
        <f t="shared" ca="1" si="2"/>
        <v>54949.826818181828</v>
      </c>
      <c r="G39" s="343">
        <f t="shared" ca="1" si="10"/>
        <v>71115.354999999996</v>
      </c>
      <c r="H39" s="336">
        <f t="shared" ca="1" si="11"/>
        <v>17138800.540800001</v>
      </c>
      <c r="I39" s="337">
        <f t="shared" ca="1" si="3"/>
        <v>-17138801</v>
      </c>
      <c r="J39" s="338">
        <v>23</v>
      </c>
      <c r="K39" s="339">
        <f ca="1">'Itemized Costs-HIDDEN'!M27-INDIRECT("'Sch3-Perf Period Cash Flow'!Z"&amp;7&amp;"")</f>
        <v>2351941</v>
      </c>
      <c r="L39" s="469">
        <v>207108</v>
      </c>
      <c r="M39" s="122">
        <f t="shared" ca="1" si="4"/>
        <v>0</v>
      </c>
      <c r="N39" s="122">
        <f ca="1">ROUND(SUM(INDIRECT(S39):INDIRECT(T39)),0)</f>
        <v>0</v>
      </c>
      <c r="O39" s="122">
        <f ca="1">IF(N39=0,0,ROUND(SUM(INDIRECT(U39):INDIRECT(V39)),0))</f>
        <v>0</v>
      </c>
      <c r="P39" s="123" t="str">
        <f t="shared" ca="1" si="5"/>
        <v/>
      </c>
      <c r="Q39" s="1">
        <f t="shared" si="12"/>
        <v>282</v>
      </c>
      <c r="R39" s="1">
        <f t="shared" si="16"/>
        <v>293</v>
      </c>
      <c r="S39" s="1" t="str">
        <f t="shared" si="6"/>
        <v>f282</v>
      </c>
      <c r="T39" s="1" t="str">
        <f t="shared" si="6"/>
        <v>f293</v>
      </c>
      <c r="U39" s="1" t="str">
        <f t="shared" si="15"/>
        <v>G282</v>
      </c>
      <c r="V39" s="1" t="str">
        <f t="shared" si="15"/>
        <v>G293</v>
      </c>
    </row>
    <row r="40" spans="1:22">
      <c r="A40" s="335">
        <f t="shared" si="7"/>
        <v>23</v>
      </c>
      <c r="B40" s="340">
        <f t="shared" si="13"/>
        <v>46966</v>
      </c>
      <c r="C40" s="336">
        <f t="shared" ca="1" si="8"/>
        <v>17138800.540800001</v>
      </c>
      <c r="D40" s="335"/>
      <c r="E40" s="336">
        <f t="shared" ca="1" si="14"/>
        <v>126065.18181818182</v>
      </c>
      <c r="F40" s="336">
        <f t="shared" ca="1" si="2"/>
        <v>55178.784818181826</v>
      </c>
      <c r="G40" s="343">
        <f t="shared" ca="1" si="10"/>
        <v>70886.396999999997</v>
      </c>
      <c r="H40" s="336">
        <f t="shared" ca="1" si="11"/>
        <v>17083621.756000001</v>
      </c>
      <c r="I40" s="337">
        <f t="shared" ca="1" si="3"/>
        <v>-17083622</v>
      </c>
      <c r="J40" s="338">
        <v>24</v>
      </c>
      <c r="K40" s="339">
        <f ca="1">'Itemized Costs-HIDDEN'!M28-INDIRECT("'Sch3-Perf Period Cash Flow'!AA"&amp;7&amp;"")</f>
        <v>2404460</v>
      </c>
      <c r="L40" s="469">
        <v>211871</v>
      </c>
      <c r="M40" s="122">
        <f t="shared" ca="1" si="4"/>
        <v>0</v>
      </c>
      <c r="N40" s="122">
        <f ca="1">ROUND(SUM(INDIRECT(S40):INDIRECT(T40)),0)</f>
        <v>0</v>
      </c>
      <c r="O40" s="122">
        <f ca="1">IF(N40=0,0,ROUND(SUM(INDIRECT(U40):INDIRECT(V40)),0))</f>
        <v>0</v>
      </c>
      <c r="P40" s="123" t="str">
        <f t="shared" ca="1" si="5"/>
        <v/>
      </c>
      <c r="Q40" s="1">
        <f t="shared" si="12"/>
        <v>294</v>
      </c>
      <c r="R40" s="1">
        <f t="shared" si="16"/>
        <v>305</v>
      </c>
      <c r="S40" s="1" t="str">
        <f t="shared" si="6"/>
        <v>f294</v>
      </c>
      <c r="T40" s="1" t="str">
        <f t="shared" si="6"/>
        <v>f305</v>
      </c>
      <c r="U40" s="1" t="str">
        <f t="shared" si="15"/>
        <v>G294</v>
      </c>
      <c r="V40" s="1" t="str">
        <f t="shared" si="15"/>
        <v>G305</v>
      </c>
    </row>
    <row r="41" spans="1:22">
      <c r="A41" s="335">
        <f t="shared" si="7"/>
        <v>24</v>
      </c>
      <c r="B41" s="340">
        <f t="shared" si="13"/>
        <v>46997</v>
      </c>
      <c r="C41" s="336">
        <f t="shared" ca="1" si="8"/>
        <v>17083621.756000001</v>
      </c>
      <c r="D41" s="336">
        <f ca="1">IF(H41&lt;0,0,(K19-L19)/11)</f>
        <v>128571.18181818182</v>
      </c>
      <c r="E41" s="336">
        <f t="shared" ca="1" si="14"/>
        <v>126065.18181818182</v>
      </c>
      <c r="F41" s="336">
        <f t="shared" ca="1" si="2"/>
        <v>55408.695818181819</v>
      </c>
      <c r="G41" s="343">
        <f t="shared" ca="1" si="10"/>
        <v>70656.486000000004</v>
      </c>
      <c r="H41" s="336">
        <f t="shared" ca="1" si="11"/>
        <v>17028213.060199998</v>
      </c>
      <c r="I41" s="337">
        <f t="shared" ca="1" si="3"/>
        <v>-16899642</v>
      </c>
      <c r="J41" s="338">
        <v>25</v>
      </c>
      <c r="K41" s="339">
        <f ca="1">'Itemized Costs-HIDDEN'!M29-INDIRECT("'Sch3-Perf Period Cash Flow'!AB"&amp;7&amp;"")</f>
        <v>2458419</v>
      </c>
      <c r="L41" s="469">
        <v>216744</v>
      </c>
      <c r="M41" s="122">
        <f ca="1">N41+O41</f>
        <v>0</v>
      </c>
      <c r="N41" s="122">
        <f ca="1">ROUND(SUM(INDIRECT(S41):INDIRECT(T41)),0)</f>
        <v>0</v>
      </c>
      <c r="O41" s="122">
        <f ca="1">IF(N41=0,0,ROUND(SUM(INDIRECT(U41):INDIRECT(V41)),0))</f>
        <v>0</v>
      </c>
      <c r="P41" s="123" t="str">
        <f t="shared" ca="1" si="5"/>
        <v/>
      </c>
      <c r="Q41" s="1">
        <f t="shared" si="12"/>
        <v>306</v>
      </c>
      <c r="R41" s="1">
        <f t="shared" si="16"/>
        <v>317</v>
      </c>
      <c r="S41" s="1" t="str">
        <f t="shared" si="6"/>
        <v>f306</v>
      </c>
      <c r="T41" s="1" t="str">
        <f t="shared" si="6"/>
        <v>f317</v>
      </c>
      <c r="U41" s="1" t="str">
        <f>CONCATENATE("G",Q41)</f>
        <v>G306</v>
      </c>
      <c r="V41" s="1" t="str">
        <f>CONCATENATE("G",R41)</f>
        <v>G317</v>
      </c>
    </row>
    <row r="42" spans="1:22">
      <c r="A42" s="335">
        <f t="shared" si="7"/>
        <v>25</v>
      </c>
      <c r="B42" s="340">
        <f t="shared" si="13"/>
        <v>47027</v>
      </c>
      <c r="C42" s="336">
        <f t="shared" ca="1" si="8"/>
        <v>17028213.060199998</v>
      </c>
      <c r="D42" s="336"/>
      <c r="E42" s="336">
        <f t="shared" ref="E42:E53" si="17">IF($D$10=1,
 IF(OR(MONTH(B42)=MONTH(EDATE($D$7,0)),MONTH(B42)=MONTH(EDATE($D$7,1)),MONTH(B42)=MONTH(EDATE($D$7,2)),MONTH(B42)=MONTH(EDATE($D$7,3)), MONTH(B42)=MONTH(EDATE($D$7,4)),MONTH(B42)=MONTH(EDATE($D$7,5)),MONTH(B42)=MONTH(EDATE($D$7,6)),MONTH(B42)=MONTH(EDATE($D$7,7)),MONTH(B42)=MONTH(EDATE($D$7,8)),MONTH(B42)=MONTH(EDATE($D$7,9)),MONTH(B42)=MONTH(EDATE($D$7,10))),(MIN($D$41,H41)),0),
IF($D$10=0,
 IF(OR(MONTH(B42)=MONTH(EDATE($D$7,1)),MONTH(B42)=MONTH(EDATE($D$7,2)),MONTH(B42)=MONTH(EDATE($D$7,3)),MONTH(B42)=MONTH(EDATE($D$7,4)), MONTH(B42)=MONTH(EDATE($D$7,5)),MONTH(B42)=MONTH(EDATE($D$7,6)),MONTH(B42)=MONTH(EDATE($D$7,7)),MONTH(B42)=MONTH(EDATE($D$7,8)),MONTH(B42)=MONTH(EDATE($D$7,9)),MONTH(B42)=MONTH(EDATE($D$7,10)),MONTH(B42)=MONTH(EDATE($D$7,11))),(MIN($D$41,H41)),0)))</f>
        <v>0</v>
      </c>
      <c r="F42" s="336">
        <f t="shared" ca="1" si="2"/>
        <v>-70950.888000000006</v>
      </c>
      <c r="G42" s="343">
        <f t="shared" ca="1" si="10"/>
        <v>70950.888000000006</v>
      </c>
      <c r="H42" s="336">
        <f t="shared" ca="1" si="11"/>
        <v>17099163.948199999</v>
      </c>
      <c r="I42" s="337">
        <f t="shared" ca="1" si="3"/>
        <v>-17099164</v>
      </c>
      <c r="J42" s="338">
        <v>26</v>
      </c>
      <c r="K42" s="339">
        <f ca="1">'Itemized Costs-HIDDEN'!M30-INDIRECT("'Sch3-Perf Period Cash Flow'!AB"&amp;7&amp;"")</f>
        <v>2458419</v>
      </c>
      <c r="L42" s="122">
        <v>0</v>
      </c>
      <c r="M42" s="122">
        <f t="shared" ca="1" si="4"/>
        <v>0</v>
      </c>
      <c r="N42" s="122">
        <f ca="1">ROUND(SUM(INDIRECT(S42):INDIRECT(T42)),0)</f>
        <v>0</v>
      </c>
      <c r="O42" s="122">
        <f ca="1">IF(N42=0,0,ROUND(SUM(INDIRECT(U42):INDIRECT(V42)),0))</f>
        <v>0</v>
      </c>
      <c r="P42" s="123" t="str">
        <f t="shared" ca="1" si="5"/>
        <v/>
      </c>
      <c r="Q42" s="1">
        <f t="shared" si="12"/>
        <v>318</v>
      </c>
      <c r="R42" s="1">
        <f t="shared" si="16"/>
        <v>329</v>
      </c>
      <c r="S42" s="1" t="str">
        <f t="shared" si="6"/>
        <v>f318</v>
      </c>
      <c r="T42" s="1" t="str">
        <f t="shared" si="6"/>
        <v>f329</v>
      </c>
      <c r="U42" s="1" t="str">
        <f>CONCATENATE("G",Q42)</f>
        <v>G318</v>
      </c>
      <c r="V42" s="1" t="str">
        <f>CONCATENATE("G",R42)</f>
        <v>G329</v>
      </c>
    </row>
    <row r="43" spans="1:22">
      <c r="A43" s="335">
        <f t="shared" si="7"/>
        <v>26</v>
      </c>
      <c r="B43" s="340">
        <f t="shared" si="13"/>
        <v>47058</v>
      </c>
      <c r="C43" s="336">
        <f t="shared" ca="1" si="8"/>
        <v>17099163.948199999</v>
      </c>
      <c r="D43" s="335"/>
      <c r="E43" s="336">
        <f t="shared" ca="1" si="17"/>
        <v>128571.18181818182</v>
      </c>
      <c r="F43" s="336">
        <f t="shared" ca="1" si="2"/>
        <v>57860.378818181824</v>
      </c>
      <c r="G43" s="343">
        <f t="shared" ca="1" si="10"/>
        <v>70710.803</v>
      </c>
      <c r="H43" s="336">
        <f t="shared" ca="1" si="11"/>
        <v>17041303.569400001</v>
      </c>
      <c r="I43" s="337">
        <f t="shared" ca="1" si="3"/>
        <v>-17041304</v>
      </c>
      <c r="J43" s="338">
        <v>27</v>
      </c>
      <c r="K43" s="339">
        <f ca="1">'Itemized Costs-HIDDEN'!M31-INDIRECT("'Sch3-Perf Period Cash Flow'!AB"&amp;7&amp;"")</f>
        <v>2458419</v>
      </c>
      <c r="L43" s="122">
        <v>0</v>
      </c>
      <c r="M43" s="122">
        <f t="shared" ca="1" si="4"/>
        <v>0</v>
      </c>
      <c r="N43" s="122">
        <f ca="1">ROUND(SUM(INDIRECT(S43):INDIRECT(T43)),0)</f>
        <v>0</v>
      </c>
      <c r="O43" s="122">
        <f ca="1">IF(N43=0,0,ROUND(SUM(INDIRECT(U43):INDIRECT(V43)),0))</f>
        <v>0</v>
      </c>
      <c r="P43" s="123" t="str">
        <f t="shared" ca="1" si="5"/>
        <v/>
      </c>
      <c r="Q43" s="1">
        <f t="shared" si="12"/>
        <v>330</v>
      </c>
      <c r="R43" s="1">
        <f t="shared" si="16"/>
        <v>341</v>
      </c>
      <c r="S43" s="1" t="str">
        <f t="shared" si="6"/>
        <v>f330</v>
      </c>
      <c r="T43" s="1" t="str">
        <f t="shared" si="6"/>
        <v>f341</v>
      </c>
      <c r="U43" s="1" t="str">
        <f t="shared" ref="U43:V56" si="18">CONCATENATE("G",Q43)</f>
        <v>G330</v>
      </c>
      <c r="V43" s="1" t="str">
        <f t="shared" si="18"/>
        <v>G341</v>
      </c>
    </row>
    <row r="44" spans="1:22">
      <c r="A44" s="335">
        <f t="shared" si="7"/>
        <v>27</v>
      </c>
      <c r="B44" s="340">
        <f t="shared" si="13"/>
        <v>47088</v>
      </c>
      <c r="C44" s="336">
        <f t="shared" ca="1" si="8"/>
        <v>17041303.569400001</v>
      </c>
      <c r="D44" s="335"/>
      <c r="E44" s="336">
        <f t="shared" ca="1" si="17"/>
        <v>128571.18181818182</v>
      </c>
      <c r="F44" s="336">
        <f t="shared" ca="1" si="2"/>
        <v>58101.46381818183</v>
      </c>
      <c r="G44" s="343">
        <f t="shared" ca="1" si="10"/>
        <v>70469.717999999993</v>
      </c>
      <c r="H44" s="336">
        <f t="shared" ca="1" si="11"/>
        <v>16983202.105599999</v>
      </c>
      <c r="I44" s="337">
        <f t="shared" ca="1" si="3"/>
        <v>-16983202</v>
      </c>
      <c r="J44" s="338">
        <v>28</v>
      </c>
      <c r="K44" s="339">
        <f ca="1">'Itemized Costs-HIDDEN'!M32-INDIRECT("'Sch3-Perf Period Cash Flow'!AB"&amp;7&amp;"")</f>
        <v>2458419</v>
      </c>
      <c r="L44" s="122">
        <v>0</v>
      </c>
      <c r="M44" s="122">
        <f t="shared" ca="1" si="4"/>
        <v>0</v>
      </c>
      <c r="N44" s="122">
        <f ca="1">ROUND(SUM(INDIRECT(S44):INDIRECT(T44)),0)</f>
        <v>0</v>
      </c>
      <c r="O44" s="122">
        <f ca="1">IF(N44=0,0,ROUND(SUM(INDIRECT(U44):INDIRECT(V44)),0))</f>
        <v>0</v>
      </c>
      <c r="P44" s="123" t="str">
        <f t="shared" ca="1" si="5"/>
        <v/>
      </c>
      <c r="Q44" s="1">
        <f t="shared" si="12"/>
        <v>342</v>
      </c>
      <c r="R44" s="1">
        <f t="shared" si="16"/>
        <v>353</v>
      </c>
      <c r="S44" s="1" t="str">
        <f t="shared" si="6"/>
        <v>f342</v>
      </c>
      <c r="T44" s="1" t="str">
        <f t="shared" si="6"/>
        <v>f353</v>
      </c>
      <c r="U44" s="1" t="str">
        <f t="shared" si="18"/>
        <v>G342</v>
      </c>
      <c r="V44" s="1" t="str">
        <f t="shared" si="18"/>
        <v>G353</v>
      </c>
    </row>
    <row r="45" spans="1:22">
      <c r="A45" s="335">
        <f t="shared" si="7"/>
        <v>28</v>
      </c>
      <c r="B45" s="340">
        <f t="shared" si="13"/>
        <v>47119</v>
      </c>
      <c r="C45" s="336">
        <f t="shared" ca="1" si="8"/>
        <v>16983202.105599999</v>
      </c>
      <c r="D45" s="335"/>
      <c r="E45" s="336">
        <f t="shared" ca="1" si="17"/>
        <v>128571.18181818182</v>
      </c>
      <c r="F45" s="336">
        <f t="shared" ca="1" si="2"/>
        <v>58343.552818181823</v>
      </c>
      <c r="G45" s="343">
        <f t="shared" ca="1" si="10"/>
        <v>70227.629000000001</v>
      </c>
      <c r="H45" s="336">
        <f t="shared" ca="1" si="11"/>
        <v>16924858.5528</v>
      </c>
      <c r="I45" s="337">
        <f t="shared" ca="1" si="3"/>
        <v>-16924859</v>
      </c>
      <c r="J45" s="338">
        <v>29</v>
      </c>
      <c r="K45" s="339">
        <f ca="1">'Itemized Costs-HIDDEN'!M33-INDIRECT("'Sch3-Perf Period Cash Flow'!AB"&amp;7&amp;"")</f>
        <v>2458419</v>
      </c>
      <c r="L45" s="122">
        <v>0</v>
      </c>
      <c r="M45" s="122">
        <f t="shared" ca="1" si="4"/>
        <v>0</v>
      </c>
      <c r="N45" s="122">
        <f ca="1">ROUND(SUM(INDIRECT(S45):INDIRECT(T45)),0)</f>
        <v>0</v>
      </c>
      <c r="O45" s="122">
        <f ca="1">IF(N45=0,0,ROUND(SUM(INDIRECT(U45):INDIRECT(V45)),0))</f>
        <v>0</v>
      </c>
      <c r="P45" s="123" t="str">
        <f t="shared" ca="1" si="5"/>
        <v/>
      </c>
      <c r="Q45" s="1">
        <f t="shared" si="12"/>
        <v>354</v>
      </c>
      <c r="R45" s="1">
        <f t="shared" si="16"/>
        <v>365</v>
      </c>
      <c r="S45" s="1" t="str">
        <f t="shared" si="6"/>
        <v>f354</v>
      </c>
      <c r="T45" s="1" t="str">
        <f t="shared" si="6"/>
        <v>f365</v>
      </c>
      <c r="U45" s="1" t="str">
        <f t="shared" si="18"/>
        <v>G354</v>
      </c>
      <c r="V45" s="1" t="str">
        <f t="shared" si="18"/>
        <v>G365</v>
      </c>
    </row>
    <row r="46" spans="1:22">
      <c r="A46" s="335">
        <f t="shared" si="7"/>
        <v>29</v>
      </c>
      <c r="B46" s="340">
        <f t="shared" si="13"/>
        <v>47150</v>
      </c>
      <c r="C46" s="336">
        <f t="shared" ca="1" si="8"/>
        <v>16924858.5528</v>
      </c>
      <c r="D46" s="335"/>
      <c r="E46" s="336">
        <f t="shared" ca="1" si="17"/>
        <v>128571.18181818182</v>
      </c>
      <c r="F46" s="336">
        <f t="shared" ca="1" si="2"/>
        <v>58586.650818181821</v>
      </c>
      <c r="G46" s="343">
        <f t="shared" ca="1" si="10"/>
        <v>69984.531000000003</v>
      </c>
      <c r="H46" s="336">
        <f t="shared" ca="1" si="11"/>
        <v>16866271.901999999</v>
      </c>
      <c r="I46" s="337">
        <f t="shared" ca="1" si="3"/>
        <v>-16866272</v>
      </c>
      <c r="J46" s="338">
        <v>30</v>
      </c>
      <c r="K46" s="339">
        <f ca="1">'Itemized Costs-HIDDEN'!M34-INDIRECT("'Sch3-Perf Period Cash Flow'!AB"&amp;7&amp;"")</f>
        <v>2458419</v>
      </c>
      <c r="L46" s="122">
        <v>0</v>
      </c>
      <c r="M46" s="122">
        <f t="shared" ca="1" si="4"/>
        <v>0</v>
      </c>
      <c r="N46" s="122">
        <f ca="1">ROUND(SUM(INDIRECT(S46):INDIRECT(T46)),0)</f>
        <v>0</v>
      </c>
      <c r="O46" s="122">
        <f ca="1">IF(N46=0,0,ROUND(SUM(INDIRECT(U46):INDIRECT(V46)),0))</f>
        <v>0</v>
      </c>
      <c r="P46" s="123" t="str">
        <f t="shared" ca="1" si="5"/>
        <v/>
      </c>
      <c r="Q46" s="1">
        <f t="shared" si="12"/>
        <v>366</v>
      </c>
      <c r="R46" s="1">
        <f t="shared" si="16"/>
        <v>377</v>
      </c>
      <c r="S46" s="1" t="str">
        <f t="shared" si="6"/>
        <v>f366</v>
      </c>
      <c r="T46" s="1" t="str">
        <f t="shared" si="6"/>
        <v>f377</v>
      </c>
      <c r="U46" s="1" t="str">
        <f t="shared" si="18"/>
        <v>G366</v>
      </c>
      <c r="V46" s="1" t="str">
        <f t="shared" si="18"/>
        <v>G377</v>
      </c>
    </row>
    <row r="47" spans="1:22">
      <c r="A47" s="335">
        <f t="shared" si="7"/>
        <v>30</v>
      </c>
      <c r="B47" s="340">
        <f t="shared" si="13"/>
        <v>47178</v>
      </c>
      <c r="C47" s="336">
        <f t="shared" ca="1" si="8"/>
        <v>16866271.901999999</v>
      </c>
      <c r="D47" s="335"/>
      <c r="E47" s="336">
        <f t="shared" ca="1" si="17"/>
        <v>128571.18181818182</v>
      </c>
      <c r="F47" s="336">
        <f t="shared" ca="1" si="2"/>
        <v>58830.761818181825</v>
      </c>
      <c r="G47" s="343">
        <f t="shared" ca="1" si="10"/>
        <v>69740.42</v>
      </c>
      <c r="H47" s="336">
        <f t="shared" ca="1" si="11"/>
        <v>16807441.1402</v>
      </c>
      <c r="I47" s="337">
        <f t="shared" ca="1" si="3"/>
        <v>-16807441</v>
      </c>
      <c r="J47" s="338">
        <v>31</v>
      </c>
      <c r="K47" s="339">
        <f ca="1">'Itemized Costs-HIDDEN'!M35-INDIRECT("'Sch3-Perf Period Cash Flow'!AB"&amp;7&amp;"")</f>
        <v>2458419</v>
      </c>
      <c r="L47" s="122">
        <v>0</v>
      </c>
      <c r="M47" s="122">
        <f t="shared" ca="1" si="4"/>
        <v>0</v>
      </c>
      <c r="N47" s="122">
        <f ca="1">ROUND(SUM(INDIRECT(S47):INDIRECT(T47)),0)</f>
        <v>0</v>
      </c>
      <c r="O47" s="122">
        <f ca="1">IF(N47=0,0,ROUND(SUM(INDIRECT(U47):INDIRECT(V47)),0))</f>
        <v>0</v>
      </c>
      <c r="P47" s="123" t="str">
        <f t="shared" ca="1" si="5"/>
        <v/>
      </c>
      <c r="Q47" s="1">
        <f t="shared" si="12"/>
        <v>378</v>
      </c>
      <c r="R47" s="1">
        <f t="shared" si="16"/>
        <v>389</v>
      </c>
      <c r="S47" s="1" t="str">
        <f t="shared" si="6"/>
        <v>f378</v>
      </c>
      <c r="T47" s="1" t="str">
        <f t="shared" si="6"/>
        <v>f389</v>
      </c>
      <c r="U47" s="1" t="str">
        <f t="shared" si="18"/>
        <v>G378</v>
      </c>
      <c r="V47" s="1" t="str">
        <f t="shared" si="18"/>
        <v>G389</v>
      </c>
    </row>
    <row r="48" spans="1:22">
      <c r="A48" s="335">
        <f t="shared" si="7"/>
        <v>31</v>
      </c>
      <c r="B48" s="340">
        <f t="shared" si="13"/>
        <v>47209</v>
      </c>
      <c r="C48" s="336">
        <f t="shared" ca="1" si="8"/>
        <v>16807441.1402</v>
      </c>
      <c r="D48" s="335"/>
      <c r="E48" s="336">
        <f t="shared" ca="1" si="17"/>
        <v>128571.18181818182</v>
      </c>
      <c r="F48" s="336">
        <f t="shared" ca="1" si="2"/>
        <v>59075.890818181826</v>
      </c>
      <c r="G48" s="343">
        <f t="shared" ca="1" si="10"/>
        <v>69495.290999999997</v>
      </c>
      <c r="H48" s="336">
        <f t="shared" ca="1" si="11"/>
        <v>16748365.249399999</v>
      </c>
      <c r="I48" s="337">
        <f t="shared" ca="1" si="3"/>
        <v>-16748365</v>
      </c>
      <c r="J48" s="338">
        <v>32</v>
      </c>
      <c r="K48" s="339">
        <f ca="1">'Itemized Costs-HIDDEN'!M36-INDIRECT("'Sch3-Perf Period Cash Flow'!AB"&amp;7&amp;"")</f>
        <v>2458419</v>
      </c>
      <c r="L48" s="122">
        <v>0</v>
      </c>
      <c r="M48" s="122">
        <f t="shared" ca="1" si="4"/>
        <v>0</v>
      </c>
      <c r="N48" s="122">
        <f ca="1">ROUND(SUM(INDIRECT(S48):INDIRECT(T48)),0)</f>
        <v>0</v>
      </c>
      <c r="O48" s="122">
        <f ca="1">IF(N48=0,0,ROUND(SUM(INDIRECT(U48):INDIRECT(V48)),0))</f>
        <v>0</v>
      </c>
      <c r="P48" s="123" t="str">
        <f t="shared" ca="1" si="5"/>
        <v/>
      </c>
      <c r="Q48" s="1">
        <f t="shared" si="12"/>
        <v>390</v>
      </c>
      <c r="R48" s="1">
        <f t="shared" si="16"/>
        <v>401</v>
      </c>
      <c r="S48" s="1" t="str">
        <f t="shared" si="6"/>
        <v>f390</v>
      </c>
      <c r="T48" s="1" t="str">
        <f t="shared" si="6"/>
        <v>f401</v>
      </c>
      <c r="U48" s="1" t="str">
        <f t="shared" si="18"/>
        <v>G390</v>
      </c>
      <c r="V48" s="1" t="str">
        <f t="shared" si="18"/>
        <v>G401</v>
      </c>
    </row>
    <row r="49" spans="1:22">
      <c r="A49" s="335">
        <f t="shared" si="7"/>
        <v>32</v>
      </c>
      <c r="B49" s="340">
        <f t="shared" si="13"/>
        <v>47239</v>
      </c>
      <c r="C49" s="336">
        <f t="shared" ca="1" si="8"/>
        <v>16748365.249399999</v>
      </c>
      <c r="D49" s="335"/>
      <c r="E49" s="336">
        <f t="shared" ca="1" si="17"/>
        <v>128571.18181818182</v>
      </c>
      <c r="F49" s="336">
        <f t="shared" ca="1" si="2"/>
        <v>59322.039818181816</v>
      </c>
      <c r="G49" s="343">
        <f t="shared" ca="1" si="10"/>
        <v>69249.142000000007</v>
      </c>
      <c r="H49" s="336">
        <f t="shared" ca="1" si="11"/>
        <v>16689043.2096</v>
      </c>
      <c r="I49" s="337">
        <f t="shared" ca="1" si="3"/>
        <v>-16689043</v>
      </c>
      <c r="J49" s="338">
        <v>33</v>
      </c>
      <c r="K49" s="339">
        <f ca="1">'Itemized Costs-HIDDEN'!M37-INDIRECT("'Sch3-Perf Period Cash Flow'!AB"&amp;7&amp;"")</f>
        <v>2458419</v>
      </c>
      <c r="L49" s="122">
        <v>0</v>
      </c>
      <c r="M49" s="122">
        <f t="shared" ca="1" si="4"/>
        <v>0</v>
      </c>
      <c r="N49" s="122">
        <f ca="1">ROUND(SUM(INDIRECT(S49):INDIRECT(T49)),0)</f>
        <v>0</v>
      </c>
      <c r="O49" s="122">
        <f ca="1">IF(N49=0,0,ROUND(SUM(INDIRECT(U49):INDIRECT(V49)),0))</f>
        <v>0</v>
      </c>
      <c r="P49" s="123" t="str">
        <f t="shared" ca="1" si="5"/>
        <v/>
      </c>
      <c r="Q49" s="1">
        <f t="shared" si="12"/>
        <v>402</v>
      </c>
      <c r="R49" s="1">
        <f t="shared" si="16"/>
        <v>413</v>
      </c>
      <c r="S49" s="1" t="str">
        <f t="shared" si="6"/>
        <v>f402</v>
      </c>
      <c r="T49" s="1" t="str">
        <f t="shared" si="6"/>
        <v>f413</v>
      </c>
      <c r="U49" s="1" t="str">
        <f t="shared" si="18"/>
        <v>G402</v>
      </c>
      <c r="V49" s="1" t="str">
        <f t="shared" si="18"/>
        <v>G413</v>
      </c>
    </row>
    <row r="50" spans="1:22">
      <c r="A50" s="335">
        <f t="shared" si="7"/>
        <v>33</v>
      </c>
      <c r="B50" s="340">
        <f t="shared" si="13"/>
        <v>47270</v>
      </c>
      <c r="C50" s="336">
        <f t="shared" ca="1" si="8"/>
        <v>16689043.2096</v>
      </c>
      <c r="D50" s="335"/>
      <c r="E50" s="336">
        <f t="shared" ca="1" si="17"/>
        <v>128571.18181818182</v>
      </c>
      <c r="F50" s="336">
        <f t="shared" ca="1" si="2"/>
        <v>59569.214818181819</v>
      </c>
      <c r="G50" s="343">
        <f t="shared" ca="1" si="10"/>
        <v>69001.967000000004</v>
      </c>
      <c r="H50" s="336">
        <f t="shared" ca="1" si="11"/>
        <v>16629473.9948</v>
      </c>
      <c r="I50" s="337">
        <f t="shared" ca="1" si="3"/>
        <v>-16629474</v>
      </c>
      <c r="J50" s="338">
        <v>34</v>
      </c>
      <c r="K50" s="339">
        <f ca="1">'Itemized Costs-HIDDEN'!M38-INDIRECT("'Sch3-Perf Period Cash Flow'!AB"&amp;7&amp;"")</f>
        <v>2458419</v>
      </c>
      <c r="L50" s="122">
        <v>0</v>
      </c>
      <c r="M50" s="122">
        <f t="shared" ca="1" si="4"/>
        <v>0</v>
      </c>
      <c r="N50" s="122">
        <f ca="1">ROUND(SUM(INDIRECT(S50):INDIRECT(T50)),0)</f>
        <v>0</v>
      </c>
      <c r="O50" s="122">
        <f ca="1">IF(N50=0,0,ROUND(SUM(INDIRECT(U50):INDIRECT(V50)),0))</f>
        <v>0</v>
      </c>
      <c r="P50" s="123" t="str">
        <f t="shared" ca="1" si="5"/>
        <v/>
      </c>
      <c r="Q50" s="1">
        <f t="shared" si="12"/>
        <v>414</v>
      </c>
      <c r="R50" s="1">
        <f t="shared" si="16"/>
        <v>425</v>
      </c>
      <c r="S50" s="1" t="str">
        <f t="shared" si="6"/>
        <v>f414</v>
      </c>
      <c r="T50" s="1" t="str">
        <f t="shared" si="6"/>
        <v>f425</v>
      </c>
      <c r="U50" s="1" t="str">
        <f t="shared" si="18"/>
        <v>G414</v>
      </c>
      <c r="V50" s="1" t="str">
        <f t="shared" si="18"/>
        <v>G425</v>
      </c>
    </row>
    <row r="51" spans="1:22">
      <c r="A51" s="335">
        <f t="shared" si="7"/>
        <v>34</v>
      </c>
      <c r="B51" s="340">
        <f t="shared" si="13"/>
        <v>47300</v>
      </c>
      <c r="C51" s="336">
        <f t="shared" ca="1" si="8"/>
        <v>16629473.9948</v>
      </c>
      <c r="D51" s="335"/>
      <c r="E51" s="336">
        <f t="shared" ca="1" si="17"/>
        <v>128571.18181818182</v>
      </c>
      <c r="F51" s="336">
        <f t="shared" ca="1" si="2"/>
        <v>59817.419818181821</v>
      </c>
      <c r="G51" s="343">
        <f t="shared" ca="1" si="10"/>
        <v>68753.762000000002</v>
      </c>
      <c r="H51" s="336">
        <f t="shared" ca="1" si="11"/>
        <v>16569656.574999999</v>
      </c>
      <c r="I51" s="337">
        <f t="shared" ca="1" si="3"/>
        <v>-16569657</v>
      </c>
      <c r="J51" s="338">
        <v>35</v>
      </c>
      <c r="K51" s="339">
        <f ca="1">'Itemized Costs-HIDDEN'!M39-INDIRECT("'Sch3-Perf Period Cash Flow'!AB"&amp;7&amp;"")</f>
        <v>2458419</v>
      </c>
      <c r="L51" s="122">
        <v>0</v>
      </c>
      <c r="M51" s="122">
        <f t="shared" ca="1" si="4"/>
        <v>0</v>
      </c>
      <c r="N51" s="122">
        <f ca="1">ROUND(SUM(INDIRECT(S51):INDIRECT(T51)),0)</f>
        <v>0</v>
      </c>
      <c r="O51" s="122">
        <f ca="1">IF(N51=0,0,ROUND(SUM(INDIRECT(U51):INDIRECT(V51)),0))</f>
        <v>0</v>
      </c>
      <c r="P51" s="123" t="str">
        <f t="shared" ca="1" si="5"/>
        <v/>
      </c>
      <c r="Q51" s="1">
        <f t="shared" si="12"/>
        <v>426</v>
      </c>
      <c r="R51" s="1">
        <f t="shared" si="16"/>
        <v>437</v>
      </c>
      <c r="S51" s="1" t="str">
        <f t="shared" si="6"/>
        <v>f426</v>
      </c>
      <c r="T51" s="1" t="str">
        <f t="shared" si="6"/>
        <v>f437</v>
      </c>
      <c r="U51" s="1" t="str">
        <f t="shared" si="18"/>
        <v>G426</v>
      </c>
      <c r="V51" s="1" t="str">
        <f t="shared" si="18"/>
        <v>G437</v>
      </c>
    </row>
    <row r="52" spans="1:22">
      <c r="A52" s="335">
        <f t="shared" si="7"/>
        <v>35</v>
      </c>
      <c r="B52" s="340">
        <f t="shared" si="13"/>
        <v>47331</v>
      </c>
      <c r="C52" s="336">
        <f t="shared" ca="1" si="8"/>
        <v>16569656.574999999</v>
      </c>
      <c r="D52" s="335"/>
      <c r="E52" s="336">
        <f t="shared" ca="1" si="17"/>
        <v>128571.18181818182</v>
      </c>
      <c r="F52" s="336">
        <f t="shared" ca="1" si="2"/>
        <v>60066.659818181826</v>
      </c>
      <c r="G52" s="343">
        <f t="shared" ca="1" si="10"/>
        <v>68504.521999999997</v>
      </c>
      <c r="H52" s="336">
        <f t="shared" ca="1" si="11"/>
        <v>16509589.915200001</v>
      </c>
      <c r="I52" s="337">
        <f t="shared" ca="1" si="3"/>
        <v>-16509590</v>
      </c>
      <c r="J52" s="338">
        <v>36</v>
      </c>
      <c r="K52" s="339">
        <f ca="1">'Itemized Costs-HIDDEN'!M40-INDIRECT("'Sch3-Perf Period Cash Flow'!AB"&amp;7&amp;"")</f>
        <v>2458419</v>
      </c>
      <c r="L52" s="122">
        <v>0</v>
      </c>
      <c r="M52" s="122">
        <f t="shared" ca="1" si="4"/>
        <v>0</v>
      </c>
      <c r="N52" s="122">
        <f ca="1">ROUND(SUM(INDIRECT(S52):INDIRECT(T52)),0)</f>
        <v>0</v>
      </c>
      <c r="O52" s="122">
        <f ca="1">IF(N52=0,0,ROUND(SUM(INDIRECT(U52):INDIRECT(V52)),0))</f>
        <v>0</v>
      </c>
      <c r="P52" s="123" t="str">
        <f t="shared" ca="1" si="5"/>
        <v/>
      </c>
      <c r="Q52" s="1">
        <f t="shared" si="12"/>
        <v>438</v>
      </c>
      <c r="R52" s="1">
        <f t="shared" si="16"/>
        <v>449</v>
      </c>
      <c r="S52" s="1" t="str">
        <f t="shared" si="6"/>
        <v>f438</v>
      </c>
      <c r="T52" s="1" t="str">
        <f t="shared" si="6"/>
        <v>f449</v>
      </c>
      <c r="U52" s="1" t="str">
        <f t="shared" si="18"/>
        <v>G438</v>
      </c>
      <c r="V52" s="1" t="str">
        <f t="shared" si="18"/>
        <v>G449</v>
      </c>
    </row>
    <row r="53" spans="1:22">
      <c r="A53" s="335">
        <f t="shared" si="7"/>
        <v>36</v>
      </c>
      <c r="B53" s="340">
        <f t="shared" si="13"/>
        <v>47362</v>
      </c>
      <c r="C53" s="336">
        <f t="shared" ca="1" si="8"/>
        <v>16509589.915200001</v>
      </c>
      <c r="D53" s="336">
        <f ca="1">IF(H53&lt;0,0,(K20-L20)/11)</f>
        <v>131140.54545454544</v>
      </c>
      <c r="E53" s="336">
        <f t="shared" ca="1" si="17"/>
        <v>128571.18181818182</v>
      </c>
      <c r="F53" s="336">
        <f t="shared" ca="1" si="2"/>
        <v>60316.936818181828</v>
      </c>
      <c r="G53" s="343">
        <f t="shared" ca="1" si="10"/>
        <v>68254.244999999995</v>
      </c>
      <c r="H53" s="336">
        <f t="shared" ca="1" si="11"/>
        <v>16449272.978399999</v>
      </c>
      <c r="I53" s="337">
        <f t="shared" ca="1" si="3"/>
        <v>-16318132</v>
      </c>
      <c r="J53" s="338">
        <v>37</v>
      </c>
      <c r="K53" s="339">
        <f ca="1">'Itemized Costs-HIDDEN'!M41-INDIRECT("'Sch3-Perf Period Cash Flow'!AB"&amp;7&amp;"")</f>
        <v>2458419</v>
      </c>
      <c r="L53" s="122">
        <v>0</v>
      </c>
      <c r="M53" s="122">
        <f t="shared" ca="1" si="4"/>
        <v>0</v>
      </c>
      <c r="N53" s="122">
        <f ca="1">ROUND(SUM(INDIRECT(S53):INDIRECT(T53)),0)</f>
        <v>0</v>
      </c>
      <c r="O53" s="122">
        <f ca="1">IF(N53=0,0,ROUND(SUM(INDIRECT(U53):INDIRECT(V53)),0))</f>
        <v>0</v>
      </c>
      <c r="P53" s="123" t="str">
        <f t="shared" ca="1" si="5"/>
        <v/>
      </c>
      <c r="Q53" s="1">
        <f t="shared" si="12"/>
        <v>450</v>
      </c>
      <c r="R53" s="1">
        <f t="shared" si="16"/>
        <v>461</v>
      </c>
      <c r="S53" s="1" t="str">
        <f t="shared" si="6"/>
        <v>f450</v>
      </c>
      <c r="T53" s="1" t="str">
        <f t="shared" si="6"/>
        <v>f461</v>
      </c>
      <c r="U53" s="1" t="str">
        <f t="shared" si="18"/>
        <v>G450</v>
      </c>
      <c r="V53" s="1" t="str">
        <f t="shared" si="18"/>
        <v>G461</v>
      </c>
    </row>
    <row r="54" spans="1:22">
      <c r="A54" s="335">
        <f t="shared" si="7"/>
        <v>37</v>
      </c>
      <c r="B54" s="340">
        <f t="shared" si="13"/>
        <v>47392</v>
      </c>
      <c r="C54" s="336">
        <f t="shared" ca="1" si="8"/>
        <v>16449272.978399999</v>
      </c>
      <c r="D54" s="336"/>
      <c r="E54" s="336">
        <f t="shared" ref="E54:E65" si="19">IF($D$10=1,
 IF(OR(MONTH(B54)=MONTH(EDATE($D$7,0)),MONTH(B54)=MONTH(EDATE($D$7,1)),MONTH(B54)=MONTH(EDATE($D$7,2)),MONTH(B54)=MONTH(EDATE($D$7,3)), MONTH(B54)=MONTH(EDATE($D$7,4)),MONTH(B54)=MONTH(EDATE($D$7,5)),MONTH(B54)=MONTH(EDATE($D$7,6)),MONTH(B54)=MONTH(EDATE($D$7,7)),MONTH(B54)=MONTH(EDATE($D$7,8)),MONTH(B54)=MONTH(EDATE($D$7,9)),MONTH(B54)=MONTH(EDATE($D$7,10))),(MIN($D$53,H53)),0),
IF($D$10=0,
 IF(OR(MONTH(B54)=MONTH(EDATE($D$7,1)),MONTH(B54)=MONTH(EDATE($D$7,2)),MONTH(B54)=MONTH(EDATE($D$7,3)),MONTH(B54)=MONTH(EDATE($D$7,4)), MONTH(B54)=MONTH(EDATE($D$7,5)),MONTH(B54)=MONTH(EDATE($D$7,6)),MONTH(B54)=MONTH(EDATE($D$7,7)),MONTH(B54)=MONTH(EDATE($D$7,8)),MONTH(B54)=MONTH(EDATE($D$7,9)),MONTH(B54)=MONTH(EDATE($D$7,10)),MONTH(B54)=MONTH(EDATE($D$7,11))),(MIN($D$53,H53)),0)))</f>
        <v>0</v>
      </c>
      <c r="F54" s="336">
        <f t="shared" ca="1" si="2"/>
        <v>-68538.637000000002</v>
      </c>
      <c r="G54" s="343">
        <f t="shared" ca="1" si="10"/>
        <v>68538.637000000002</v>
      </c>
      <c r="H54" s="336">
        <f t="shared" ca="1" si="11"/>
        <v>16517811.6154</v>
      </c>
      <c r="I54" s="337">
        <f t="shared" ca="1" si="3"/>
        <v>-16517812</v>
      </c>
      <c r="J54" s="338">
        <v>38</v>
      </c>
      <c r="K54" s="339">
        <f ca="1">'Itemized Costs-HIDDEN'!M42-INDIRECT("'Sch3-Perf Period Cash Flow'!AB"&amp;7&amp;"")</f>
        <v>2458419</v>
      </c>
      <c r="L54" s="122">
        <v>0</v>
      </c>
      <c r="M54" s="122">
        <f t="shared" ca="1" si="4"/>
        <v>0</v>
      </c>
      <c r="N54" s="122">
        <f ca="1">ROUND(SUM(INDIRECT(S54):INDIRECT(T54)),0)</f>
        <v>0</v>
      </c>
      <c r="O54" s="122">
        <f ca="1">IF(N54=0,0,ROUND(SUM(INDIRECT(U54):INDIRECT(V54)),0))</f>
        <v>0</v>
      </c>
      <c r="P54" s="123" t="str">
        <f t="shared" ca="1" si="5"/>
        <v/>
      </c>
      <c r="Q54" s="1">
        <f t="shared" si="12"/>
        <v>462</v>
      </c>
      <c r="R54" s="1">
        <f t="shared" si="16"/>
        <v>473</v>
      </c>
      <c r="S54" s="1" t="str">
        <f t="shared" si="6"/>
        <v>f462</v>
      </c>
      <c r="T54" s="1" t="str">
        <f t="shared" si="6"/>
        <v>f473</v>
      </c>
      <c r="U54" s="1" t="str">
        <f t="shared" si="18"/>
        <v>G462</v>
      </c>
      <c r="V54" s="1" t="str">
        <f t="shared" si="18"/>
        <v>G473</v>
      </c>
    </row>
    <row r="55" spans="1:22">
      <c r="A55" s="335">
        <f t="shared" si="7"/>
        <v>38</v>
      </c>
      <c r="B55" s="340">
        <f t="shared" si="13"/>
        <v>47423</v>
      </c>
      <c r="C55" s="336">
        <f t="shared" ca="1" si="8"/>
        <v>16517811.6154</v>
      </c>
      <c r="D55" s="335"/>
      <c r="E55" s="336">
        <f t="shared" ca="1" si="19"/>
        <v>131140.54545454544</v>
      </c>
      <c r="F55" s="336">
        <f t="shared" ca="1" si="2"/>
        <v>62862.749454545439</v>
      </c>
      <c r="G55" s="343">
        <f t="shared" ca="1" si="10"/>
        <v>68277.796000000002</v>
      </c>
      <c r="H55" s="336">
        <f t="shared" ca="1" si="11"/>
        <v>16454948.865900001</v>
      </c>
      <c r="I55" s="337">
        <f t="shared" ca="1" si="3"/>
        <v>-16454949</v>
      </c>
      <c r="J55" s="338">
        <v>39</v>
      </c>
      <c r="K55" s="339">
        <f ca="1">'Itemized Costs-HIDDEN'!M43-INDIRECT("'Sch3-Perf Period Cash Flow'!AB"&amp;7&amp;"")</f>
        <v>2458419</v>
      </c>
      <c r="L55" s="122">
        <v>0</v>
      </c>
      <c r="M55" s="122">
        <f t="shared" ca="1" si="4"/>
        <v>0</v>
      </c>
      <c r="N55" s="122">
        <f ca="1">ROUND(SUM(INDIRECT(S55):INDIRECT(T55)),0)</f>
        <v>0</v>
      </c>
      <c r="O55" s="122">
        <f ca="1">IF(N55=0,0,ROUND(SUM(INDIRECT(U55):INDIRECT(V55)),0))</f>
        <v>0</v>
      </c>
      <c r="P55" s="123" t="str">
        <f t="shared" ca="1" si="5"/>
        <v/>
      </c>
      <c r="Q55" s="1">
        <f t="shared" si="12"/>
        <v>474</v>
      </c>
      <c r="R55" s="1">
        <f t="shared" si="16"/>
        <v>485</v>
      </c>
      <c r="S55" s="1" t="str">
        <f t="shared" si="6"/>
        <v>f474</v>
      </c>
      <c r="T55" s="1" t="str">
        <f t="shared" si="6"/>
        <v>f485</v>
      </c>
      <c r="U55" s="1" t="str">
        <f t="shared" si="18"/>
        <v>G474</v>
      </c>
      <c r="V55" s="1" t="str">
        <f t="shared" si="18"/>
        <v>G485</v>
      </c>
    </row>
    <row r="56" spans="1:22">
      <c r="A56" s="335">
        <f t="shared" si="7"/>
        <v>39</v>
      </c>
      <c r="B56" s="340">
        <f t="shared" si="13"/>
        <v>47453</v>
      </c>
      <c r="C56" s="336">
        <f t="shared" ca="1" si="8"/>
        <v>16454948.865900001</v>
      </c>
      <c r="D56" s="335"/>
      <c r="E56" s="336">
        <f t="shared" ca="1" si="19"/>
        <v>131140.54545454544</v>
      </c>
      <c r="F56" s="336">
        <f t="shared" ca="1" si="2"/>
        <v>63124.677454545439</v>
      </c>
      <c r="G56" s="343">
        <f t="shared" ca="1" si="10"/>
        <v>68015.868000000002</v>
      </c>
      <c r="H56" s="336">
        <f t="shared" ca="1" si="11"/>
        <v>16391824.1884</v>
      </c>
      <c r="I56" s="337">
        <f t="shared" ca="1" si="3"/>
        <v>-16391824</v>
      </c>
      <c r="J56" s="338">
        <v>40</v>
      </c>
      <c r="K56" s="339">
        <f ca="1">'Itemized Costs-HIDDEN'!M44-INDIRECT("'Sch3-Perf Period Cash Flow'!AB"&amp;7&amp;"")</f>
        <v>2458419</v>
      </c>
      <c r="L56" s="122">
        <v>0</v>
      </c>
      <c r="M56" s="122">
        <f t="shared" ca="1" si="4"/>
        <v>0</v>
      </c>
      <c r="N56" s="122">
        <f ca="1">ROUND(SUM(INDIRECT(S56):INDIRECT(T56)),0)</f>
        <v>0</v>
      </c>
      <c r="O56" s="122">
        <f ca="1">IF(N56=0,0,ROUND(SUM(INDIRECT(U56):INDIRECT(V56)),0))</f>
        <v>0</v>
      </c>
      <c r="P56" s="123" t="str">
        <f t="shared" ca="1" si="5"/>
        <v/>
      </c>
      <c r="Q56" s="1">
        <f t="shared" si="12"/>
        <v>486</v>
      </c>
      <c r="R56" s="1">
        <f t="shared" si="16"/>
        <v>497</v>
      </c>
      <c r="S56" s="1" t="str">
        <f t="shared" si="6"/>
        <v>f486</v>
      </c>
      <c r="T56" s="1" t="str">
        <f t="shared" si="6"/>
        <v>f497</v>
      </c>
      <c r="U56" s="1" t="str">
        <f t="shared" si="18"/>
        <v>G486</v>
      </c>
      <c r="V56" s="1" t="str">
        <f t="shared" si="18"/>
        <v>G497</v>
      </c>
    </row>
    <row r="57" spans="1:22">
      <c r="A57" s="335">
        <f t="shared" si="7"/>
        <v>40</v>
      </c>
      <c r="B57" s="340">
        <f t="shared" si="13"/>
        <v>47484</v>
      </c>
      <c r="C57" s="336">
        <f t="shared" ca="1" si="8"/>
        <v>16391824.1884</v>
      </c>
      <c r="D57" s="335"/>
      <c r="E57" s="336">
        <f t="shared" ca="1" si="19"/>
        <v>131140.54545454544</v>
      </c>
      <c r="F57" s="336">
        <f t="shared" ca="1" si="2"/>
        <v>63387.696454545439</v>
      </c>
      <c r="G57" s="343">
        <f t="shared" ca="1" si="10"/>
        <v>67752.849000000002</v>
      </c>
      <c r="H57" s="336">
        <f t="shared" ca="1" si="11"/>
        <v>16328436.491900001</v>
      </c>
      <c r="I57" s="337">
        <f t="shared" ca="1" si="3"/>
        <v>-16328436</v>
      </c>
    </row>
    <row r="58" spans="1:22">
      <c r="A58" s="335">
        <f t="shared" si="7"/>
        <v>41</v>
      </c>
      <c r="B58" s="340">
        <f t="shared" si="13"/>
        <v>47515</v>
      </c>
      <c r="C58" s="336">
        <f t="shared" ca="1" si="8"/>
        <v>16328436.491900001</v>
      </c>
      <c r="D58" s="335"/>
      <c r="E58" s="336">
        <f t="shared" ca="1" si="19"/>
        <v>131140.54545454544</v>
      </c>
      <c r="F58" s="336">
        <f t="shared" ca="1" si="2"/>
        <v>63651.812454545448</v>
      </c>
      <c r="G58" s="343">
        <f t="shared" ca="1" si="10"/>
        <v>67488.732999999993</v>
      </c>
      <c r="H58" s="336">
        <f t="shared" ca="1" si="11"/>
        <v>16264784.679400001</v>
      </c>
      <c r="I58" s="337">
        <f t="shared" ca="1" si="3"/>
        <v>-16264785</v>
      </c>
    </row>
    <row r="59" spans="1:22">
      <c r="A59" s="335">
        <f t="shared" si="7"/>
        <v>42</v>
      </c>
      <c r="B59" s="340">
        <f t="shared" si="13"/>
        <v>47543</v>
      </c>
      <c r="C59" s="336">
        <f t="shared" ca="1" si="8"/>
        <v>16264784.679400001</v>
      </c>
      <c r="D59" s="335"/>
      <c r="E59" s="336">
        <f t="shared" ca="1" si="19"/>
        <v>131140.54545454544</v>
      </c>
      <c r="F59" s="336">
        <f t="shared" ca="1" si="2"/>
        <v>63917.028454545434</v>
      </c>
      <c r="G59" s="343">
        <f t="shared" ca="1" si="10"/>
        <v>67223.517000000007</v>
      </c>
      <c r="H59" s="336">
        <f t="shared" ca="1" si="11"/>
        <v>16200867.650900001</v>
      </c>
      <c r="I59" s="337">
        <f t="shared" ca="1" si="3"/>
        <v>-16200868</v>
      </c>
    </row>
    <row r="60" spans="1:22">
      <c r="A60" s="335">
        <f t="shared" si="7"/>
        <v>43</v>
      </c>
      <c r="B60" s="340">
        <f t="shared" si="13"/>
        <v>47574</v>
      </c>
      <c r="C60" s="336">
        <f t="shared" ca="1" si="8"/>
        <v>16200867.650900001</v>
      </c>
      <c r="D60" s="335"/>
      <c r="E60" s="336">
        <f t="shared" ca="1" si="19"/>
        <v>131140.54545454544</v>
      </c>
      <c r="F60" s="336">
        <f t="shared" ca="1" si="2"/>
        <v>64183.349454545445</v>
      </c>
      <c r="G60" s="343">
        <f t="shared" ca="1" si="10"/>
        <v>66957.195999999996</v>
      </c>
      <c r="H60" s="336">
        <f t="shared" ca="1" si="11"/>
        <v>16136684.3014</v>
      </c>
      <c r="I60" s="337">
        <f t="shared" ca="1" si="3"/>
        <v>-16136684</v>
      </c>
    </row>
    <row r="61" spans="1:22">
      <c r="A61" s="335">
        <f t="shared" si="7"/>
        <v>44</v>
      </c>
      <c r="B61" s="340">
        <f t="shared" si="13"/>
        <v>47604</v>
      </c>
      <c r="C61" s="336">
        <f t="shared" ca="1" si="8"/>
        <v>16136684.3014</v>
      </c>
      <c r="D61" s="335"/>
      <c r="E61" s="336">
        <f t="shared" ca="1" si="19"/>
        <v>131140.54545454544</v>
      </c>
      <c r="F61" s="336">
        <f t="shared" ca="1" si="2"/>
        <v>64450.779454545438</v>
      </c>
      <c r="G61" s="343">
        <f t="shared" ca="1" si="10"/>
        <v>66689.766000000003</v>
      </c>
      <c r="H61" s="336">
        <f t="shared" ca="1" si="11"/>
        <v>16072233.5219</v>
      </c>
      <c r="I61" s="337">
        <f t="shared" ca="1" si="3"/>
        <v>-16072234</v>
      </c>
    </row>
    <row r="62" spans="1:22">
      <c r="A62" s="335">
        <f t="shared" si="7"/>
        <v>45</v>
      </c>
      <c r="B62" s="340">
        <f t="shared" si="13"/>
        <v>47635</v>
      </c>
      <c r="C62" s="336">
        <f t="shared" ca="1" si="8"/>
        <v>16072233.5219</v>
      </c>
      <c r="D62" s="335"/>
      <c r="E62" s="336">
        <f t="shared" ca="1" si="19"/>
        <v>131140.54545454544</v>
      </c>
      <c r="F62" s="336">
        <f t="shared" ca="1" si="2"/>
        <v>64719.324454545436</v>
      </c>
      <c r="G62" s="343">
        <f t="shared" ca="1" si="10"/>
        <v>66421.221000000005</v>
      </c>
      <c r="H62" s="336">
        <f t="shared" ca="1" si="11"/>
        <v>16007514.1974</v>
      </c>
      <c r="I62" s="337">
        <f t="shared" ca="1" si="3"/>
        <v>-16007514</v>
      </c>
    </row>
    <row r="63" spans="1:22">
      <c r="A63" s="335">
        <f t="shared" si="7"/>
        <v>46</v>
      </c>
      <c r="B63" s="340">
        <f t="shared" si="13"/>
        <v>47665</v>
      </c>
      <c r="C63" s="336">
        <f t="shared" ca="1" si="8"/>
        <v>16007514.1974</v>
      </c>
      <c r="D63" s="335"/>
      <c r="E63" s="336">
        <f t="shared" ca="1" si="19"/>
        <v>131140.54545454544</v>
      </c>
      <c r="F63" s="336">
        <f t="shared" ca="1" si="2"/>
        <v>64988.988454545441</v>
      </c>
      <c r="G63" s="343">
        <f t="shared" ca="1" si="10"/>
        <v>66151.557000000001</v>
      </c>
      <c r="H63" s="336">
        <f t="shared" ca="1" si="11"/>
        <v>15942525.208900001</v>
      </c>
      <c r="I63" s="337">
        <f t="shared" ca="1" si="3"/>
        <v>-15942525</v>
      </c>
    </row>
    <row r="64" spans="1:22">
      <c r="A64" s="335">
        <f t="shared" si="7"/>
        <v>47</v>
      </c>
      <c r="B64" s="340">
        <f t="shared" si="13"/>
        <v>47696</v>
      </c>
      <c r="C64" s="336">
        <f t="shared" ca="1" si="8"/>
        <v>15942525.208900001</v>
      </c>
      <c r="D64" s="335"/>
      <c r="E64" s="336">
        <f t="shared" ca="1" si="19"/>
        <v>131140.54545454544</v>
      </c>
      <c r="F64" s="336">
        <f t="shared" ca="1" si="2"/>
        <v>65259.776454545441</v>
      </c>
      <c r="G64" s="343">
        <f t="shared" ca="1" si="10"/>
        <v>65880.769</v>
      </c>
      <c r="H64" s="336">
        <f t="shared" ca="1" si="11"/>
        <v>15877265.432399999</v>
      </c>
      <c r="I64" s="337">
        <f t="shared" ca="1" si="3"/>
        <v>-15877265</v>
      </c>
    </row>
    <row r="65" spans="1:22">
      <c r="A65" s="335">
        <f t="shared" si="7"/>
        <v>48</v>
      </c>
      <c r="B65" s="340">
        <f t="shared" si="13"/>
        <v>47727</v>
      </c>
      <c r="C65" s="336">
        <f t="shared" ca="1" si="8"/>
        <v>15877265.432399999</v>
      </c>
      <c r="D65" s="336">
        <f ca="1">IF(H65&lt;0,0,(K21-L21)/11)</f>
        <v>133775.09090909091</v>
      </c>
      <c r="E65" s="336">
        <f t="shared" ca="1" si="19"/>
        <v>131140.54545454544</v>
      </c>
      <c r="F65" s="336">
        <f t="shared" ca="1" si="2"/>
        <v>65531.691454545435</v>
      </c>
      <c r="G65" s="343">
        <f t="shared" ca="1" si="10"/>
        <v>65608.854000000007</v>
      </c>
      <c r="H65" s="336">
        <f t="shared" ca="1" si="11"/>
        <v>15811733.740900001</v>
      </c>
      <c r="I65" s="337">
        <f t="shared" ca="1" si="3"/>
        <v>-15677959</v>
      </c>
    </row>
    <row r="66" spans="1:22">
      <c r="A66" s="335">
        <f t="shared" si="7"/>
        <v>49</v>
      </c>
      <c r="B66" s="340">
        <f t="shared" si="13"/>
        <v>47757</v>
      </c>
      <c r="C66" s="336">
        <f t="shared" ca="1" si="8"/>
        <v>15811733.740900001</v>
      </c>
      <c r="D66" s="335"/>
      <c r="E66" s="336">
        <f t="shared" ref="E66:E77" si="20">IF($D$10=1,
 IF(OR(MONTH(B66)=MONTH(EDATE($D$7,0)),MONTH(B66)=MONTH(EDATE($D$7,1)),MONTH(B66)=MONTH(EDATE($D$7,2)),MONTH(B66)=MONTH(EDATE($D$7,3)), MONTH(B66)=MONTH(EDATE($D$7,4)),MONTH(B66)=MONTH(EDATE($D$7,5)),MONTH(B66)=MONTH(EDATE($D$7,6)),MONTH(B66)=MONTH(EDATE($D$7,7)),MONTH(B66)=MONTH(EDATE($D$7,8)),MONTH(B66)=MONTH(EDATE($D$7,9)),MONTH(B66)=MONTH(EDATE($D$7,10))),(MIN($D$65,H65)),0),
IF($D$10=0,
 IF(OR(MONTH(B66)=MONTH(EDATE($D$7,1)),MONTH(B66)=MONTH(EDATE($D$7,2)),MONTH(B66)=MONTH(EDATE($D$7,3)),MONTH(B66)=MONTH(EDATE($D$7,4)), MONTH(B66)=MONTH(EDATE($D$7,5)),MONTH(B66)=MONTH(EDATE($D$7,6)),MONTH(B66)=MONTH(EDATE($D$7,7)),MONTH(B66)=MONTH(EDATE($D$7,8)),MONTH(B66)=MONTH(EDATE($D$7,9)),MONTH(B66)=MONTH(EDATE($D$7,10)),MONTH(B66)=MONTH(EDATE($D$7,11))),(MIN($D$65,H65)),0)))</f>
        <v>0</v>
      </c>
      <c r="F66" s="336">
        <f t="shared" ca="1" si="2"/>
        <v>-65882.224000000002</v>
      </c>
      <c r="G66" s="343">
        <f t="shared" ca="1" si="10"/>
        <v>65882.224000000002</v>
      </c>
      <c r="H66" s="336">
        <f t="shared" ca="1" si="11"/>
        <v>15877615.9649</v>
      </c>
      <c r="I66" s="337">
        <f t="shared" ca="1" si="3"/>
        <v>-15877616</v>
      </c>
    </row>
    <row r="67" spans="1:22">
      <c r="A67" s="335">
        <f t="shared" si="7"/>
        <v>50</v>
      </c>
      <c r="B67" s="340">
        <f t="shared" si="13"/>
        <v>47788</v>
      </c>
      <c r="C67" s="336">
        <f t="shared" ca="1" si="8"/>
        <v>15877615.9649</v>
      </c>
      <c r="D67" s="336"/>
      <c r="E67" s="336">
        <f t="shared" ca="1" si="20"/>
        <v>133775.09090909091</v>
      </c>
      <c r="F67" s="336">
        <f t="shared" ca="1" si="2"/>
        <v>68175.753909090912</v>
      </c>
      <c r="G67" s="343">
        <f t="shared" ca="1" si="10"/>
        <v>65599.337</v>
      </c>
      <c r="H67" s="336">
        <f t="shared" ca="1" si="11"/>
        <v>15809440.210999999</v>
      </c>
      <c r="I67" s="337">
        <f t="shared" ca="1" si="3"/>
        <v>-15809440</v>
      </c>
    </row>
    <row r="68" spans="1:22">
      <c r="A68" s="335">
        <f t="shared" si="7"/>
        <v>51</v>
      </c>
      <c r="B68" s="340">
        <f t="shared" si="13"/>
        <v>47818</v>
      </c>
      <c r="C68" s="336">
        <f t="shared" ca="1" si="8"/>
        <v>15809440.210999999</v>
      </c>
      <c r="D68" s="335"/>
      <c r="E68" s="336">
        <f t="shared" ca="1" si="20"/>
        <v>133775.09090909091</v>
      </c>
      <c r="F68" s="336">
        <f t="shared" ca="1" si="2"/>
        <v>68459.819909090904</v>
      </c>
      <c r="G68" s="343">
        <f t="shared" ca="1" si="10"/>
        <v>65315.271000000001</v>
      </c>
      <c r="H68" s="336">
        <f t="shared" ca="1" si="11"/>
        <v>15740980.391100001</v>
      </c>
      <c r="I68" s="337">
        <f t="shared" ca="1" si="3"/>
        <v>-15740980</v>
      </c>
    </row>
    <row r="69" spans="1:22">
      <c r="A69" s="335">
        <f t="shared" si="7"/>
        <v>52</v>
      </c>
      <c r="B69" s="340">
        <f t="shared" si="13"/>
        <v>47849</v>
      </c>
      <c r="C69" s="336">
        <f t="shared" ca="1" si="8"/>
        <v>15740980.391100001</v>
      </c>
      <c r="D69" s="335"/>
      <c r="E69" s="336">
        <f t="shared" ca="1" si="20"/>
        <v>133775.09090909091</v>
      </c>
      <c r="F69" s="336">
        <f t="shared" ca="1" si="2"/>
        <v>68745.068909090915</v>
      </c>
      <c r="G69" s="343">
        <f t="shared" ca="1" si="10"/>
        <v>65030.021999999997</v>
      </c>
      <c r="H69" s="336">
        <f t="shared" ca="1" si="11"/>
        <v>15672235.3222</v>
      </c>
      <c r="I69" s="337">
        <f t="shared" ca="1" si="3"/>
        <v>-15672235</v>
      </c>
    </row>
    <row r="70" spans="1:22">
      <c r="A70" s="335">
        <f t="shared" si="7"/>
        <v>53</v>
      </c>
      <c r="B70" s="340">
        <f t="shared" si="13"/>
        <v>47880</v>
      </c>
      <c r="C70" s="336">
        <f t="shared" ca="1" si="8"/>
        <v>15672235.3222</v>
      </c>
      <c r="D70" s="335"/>
      <c r="E70" s="336">
        <f t="shared" ca="1" si="20"/>
        <v>133775.09090909091</v>
      </c>
      <c r="F70" s="336">
        <f t="shared" ca="1" si="2"/>
        <v>69031.506909090909</v>
      </c>
      <c r="G70" s="343">
        <f t="shared" ca="1" si="10"/>
        <v>64743.584000000003</v>
      </c>
      <c r="H70" s="336">
        <f t="shared" ca="1" si="11"/>
        <v>15603203.815300001</v>
      </c>
      <c r="I70" s="337">
        <f t="shared" ca="1" si="3"/>
        <v>-15603204</v>
      </c>
    </row>
    <row r="71" spans="1:22">
      <c r="A71" s="335">
        <f t="shared" si="7"/>
        <v>54</v>
      </c>
      <c r="B71" s="340">
        <f t="shared" si="13"/>
        <v>47908</v>
      </c>
      <c r="C71" s="336">
        <f t="shared" ca="1" si="8"/>
        <v>15603203.815300001</v>
      </c>
      <c r="D71" s="335"/>
      <c r="E71" s="336">
        <f t="shared" ca="1" si="20"/>
        <v>133775.09090909091</v>
      </c>
      <c r="F71" s="336">
        <f t="shared" ca="1" si="2"/>
        <v>69319.137909090903</v>
      </c>
      <c r="G71" s="343">
        <f t="shared" ca="1" si="10"/>
        <v>64455.953000000001</v>
      </c>
      <c r="H71" s="336">
        <f t="shared" ca="1" si="11"/>
        <v>15533884.6774</v>
      </c>
      <c r="I71" s="337">
        <f t="shared" ca="1" si="3"/>
        <v>-15533885</v>
      </c>
    </row>
    <row r="72" spans="1:22">
      <c r="A72" s="335">
        <f t="shared" si="7"/>
        <v>55</v>
      </c>
      <c r="B72" s="340">
        <f t="shared" si="13"/>
        <v>47939</v>
      </c>
      <c r="C72" s="336">
        <f t="shared" ca="1" si="8"/>
        <v>15533884.6774</v>
      </c>
      <c r="D72" s="335"/>
      <c r="E72" s="336">
        <f t="shared" ca="1" si="20"/>
        <v>133775.09090909091</v>
      </c>
      <c r="F72" s="336">
        <f t="shared" ca="1" si="2"/>
        <v>69607.967909090919</v>
      </c>
      <c r="G72" s="343">
        <f t="shared" ca="1" si="10"/>
        <v>64167.123</v>
      </c>
      <c r="H72" s="336">
        <f t="shared" ca="1" si="11"/>
        <v>15464276.7095</v>
      </c>
      <c r="I72" s="337">
        <f t="shared" ca="1" si="3"/>
        <v>-15464277</v>
      </c>
      <c r="Q72" s="1"/>
      <c r="R72" s="1"/>
      <c r="S72" s="1"/>
      <c r="T72" s="1"/>
      <c r="U72" s="1"/>
      <c r="V72" s="1"/>
    </row>
    <row r="73" spans="1:22">
      <c r="A73" s="335">
        <f t="shared" si="7"/>
        <v>56</v>
      </c>
      <c r="B73" s="340">
        <f t="shared" si="13"/>
        <v>47969</v>
      </c>
      <c r="C73" s="336">
        <f t="shared" ca="1" si="8"/>
        <v>15464276.7095</v>
      </c>
      <c r="D73" s="335"/>
      <c r="E73" s="336">
        <f t="shared" ca="1" si="20"/>
        <v>133775.09090909091</v>
      </c>
      <c r="F73" s="336">
        <f t="shared" ca="1" si="2"/>
        <v>69898.000909090915</v>
      </c>
      <c r="G73" s="343">
        <f t="shared" ca="1" si="10"/>
        <v>63877.09</v>
      </c>
      <c r="H73" s="336">
        <f t="shared" ca="1" si="11"/>
        <v>15394378.7086</v>
      </c>
      <c r="I73" s="337">
        <f t="shared" ca="1" si="3"/>
        <v>-15394379</v>
      </c>
    </row>
    <row r="74" spans="1:22">
      <c r="A74" s="335">
        <f t="shared" si="7"/>
        <v>57</v>
      </c>
      <c r="B74" s="340">
        <f t="shared" si="13"/>
        <v>48000</v>
      </c>
      <c r="C74" s="336">
        <f t="shared" ca="1" si="8"/>
        <v>15394378.7086</v>
      </c>
      <c r="D74" s="335"/>
      <c r="E74" s="336">
        <f t="shared" ca="1" si="20"/>
        <v>133775.09090909091</v>
      </c>
      <c r="F74" s="336">
        <f t="shared" ca="1" si="2"/>
        <v>70189.242909090914</v>
      </c>
      <c r="G74" s="343">
        <f t="shared" ca="1" si="10"/>
        <v>63585.847999999998</v>
      </c>
      <c r="H74" s="336">
        <f t="shared" ca="1" si="11"/>
        <v>15324189.465700001</v>
      </c>
      <c r="I74" s="337">
        <f t="shared" ca="1" si="3"/>
        <v>-15324189</v>
      </c>
    </row>
    <row r="75" spans="1:22">
      <c r="A75" s="335">
        <f t="shared" si="7"/>
        <v>58</v>
      </c>
      <c r="B75" s="340">
        <f t="shared" si="13"/>
        <v>48030</v>
      </c>
      <c r="C75" s="336">
        <f t="shared" ca="1" si="8"/>
        <v>15324189.465700001</v>
      </c>
      <c r="D75" s="335"/>
      <c r="E75" s="336">
        <f t="shared" ca="1" si="20"/>
        <v>133775.09090909091</v>
      </c>
      <c r="F75" s="336">
        <f t="shared" ca="1" si="2"/>
        <v>70481.697909090915</v>
      </c>
      <c r="G75" s="343">
        <f t="shared" ca="1" si="10"/>
        <v>63293.392999999996</v>
      </c>
      <c r="H75" s="336">
        <f t="shared" ca="1" si="11"/>
        <v>15253707.7678</v>
      </c>
      <c r="I75" s="337">
        <f t="shared" ca="1" si="3"/>
        <v>-15253708</v>
      </c>
    </row>
    <row r="76" spans="1:22">
      <c r="A76" s="335">
        <f t="shared" si="7"/>
        <v>59</v>
      </c>
      <c r="B76" s="340">
        <f t="shared" si="13"/>
        <v>48061</v>
      </c>
      <c r="C76" s="336">
        <f t="shared" ca="1" si="8"/>
        <v>15253707.7678</v>
      </c>
      <c r="D76" s="335"/>
      <c r="E76" s="336">
        <f t="shared" ca="1" si="20"/>
        <v>133775.09090909091</v>
      </c>
      <c r="F76" s="336">
        <f t="shared" ca="1" si="2"/>
        <v>70775.371909090914</v>
      </c>
      <c r="G76" s="343">
        <f t="shared" ca="1" si="10"/>
        <v>62999.718999999997</v>
      </c>
      <c r="H76" s="336">
        <f t="shared" ca="1" si="11"/>
        <v>15182932.3959</v>
      </c>
      <c r="I76" s="337">
        <f t="shared" ca="1" si="3"/>
        <v>-15182932</v>
      </c>
    </row>
    <row r="77" spans="1:22">
      <c r="A77" s="335">
        <f t="shared" si="7"/>
        <v>60</v>
      </c>
      <c r="B77" s="340">
        <f t="shared" si="13"/>
        <v>48092</v>
      </c>
      <c r="C77" s="336">
        <f t="shared" ca="1" si="8"/>
        <v>15182932.3959</v>
      </c>
      <c r="D77" s="336">
        <f ca="1">IF(H77&lt;0,0,(K22-L22)/11)</f>
        <v>136476.90909090909</v>
      </c>
      <c r="E77" s="336">
        <f t="shared" ca="1" si="20"/>
        <v>133775.09090909091</v>
      </c>
      <c r="F77" s="336">
        <f t="shared" ca="1" si="2"/>
        <v>71070.268909090912</v>
      </c>
      <c r="G77" s="343">
        <f t="shared" ca="1" si="10"/>
        <v>62704.822</v>
      </c>
      <c r="H77" s="336">
        <f t="shared" ca="1" si="11"/>
        <v>15111862.127</v>
      </c>
      <c r="I77" s="337">
        <f t="shared" ca="1" si="3"/>
        <v>-14975385</v>
      </c>
    </row>
    <row r="78" spans="1:22">
      <c r="A78" s="335">
        <f t="shared" si="7"/>
        <v>61</v>
      </c>
      <c r="B78" s="340">
        <f t="shared" si="13"/>
        <v>48122</v>
      </c>
      <c r="C78" s="336">
        <f t="shared" ca="1" si="8"/>
        <v>15111862.127</v>
      </c>
      <c r="D78" s="336"/>
      <c r="E78" s="336">
        <f t="shared" ref="E78:E89" si="21">IF($D$10=1,
 IF(OR(MONTH(B78)=MONTH(EDATE($D$7,0)),MONTH(B78)=MONTH(EDATE($D$7,1)),MONTH(B78)=MONTH(EDATE($D$7,2)),MONTH(B78)=MONTH(EDATE($D$7,3)), MONTH(B78)=MONTH(EDATE($D$7,4)),MONTH(B78)=MONTH(EDATE($D$7,5)),MONTH(B78)=MONTH(EDATE($D$7,6)),MONTH(B78)=MONTH(EDATE($D$7,7)),MONTH(B78)=MONTH(EDATE($D$7,8)),MONTH(B78)=MONTH(EDATE($D$7,9)),MONTH(B78)=MONTH(EDATE($D$7,10))),(MIN($D$77,H77)),0),
IF($D$10=0,
 IF(OR(MONTH(B78)=MONTH(EDATE($D$7,1)),MONTH(B78)=MONTH(EDATE($D$7,2)),MONTH(B78)=MONTH(EDATE($D$7,3)),MONTH(B78)=MONTH(EDATE($D$7,4)), MONTH(B78)=MONTH(EDATE($D$7,5)),MONTH(B78)=MONTH(EDATE($D$7,6)),MONTH(B78)=MONTH(EDATE($D$7,7)),MONTH(B78)=MONTH(EDATE($D$7,8)),MONTH(B78)=MONTH(EDATE($D$7,9)),MONTH(B78)=MONTH(EDATE($D$7,10)),MONTH(B78)=MONTH(EDATE($D$7,11))),(MIN($D$77,H77)),0)))</f>
        <v>0</v>
      </c>
      <c r="F78" s="336">
        <f t="shared" ca="1" si="2"/>
        <v>-62966.091999999997</v>
      </c>
      <c r="G78" s="343">
        <f t="shared" ca="1" si="10"/>
        <v>62966.091999999997</v>
      </c>
      <c r="H78" s="336">
        <f t="shared" ca="1" si="11"/>
        <v>15174828.219000001</v>
      </c>
      <c r="I78" s="337">
        <f t="shared" ca="1" si="3"/>
        <v>-15174828</v>
      </c>
    </row>
    <row r="79" spans="1:22">
      <c r="A79" s="335">
        <f t="shared" si="7"/>
        <v>62</v>
      </c>
      <c r="B79" s="340">
        <f t="shared" si="13"/>
        <v>48153</v>
      </c>
      <c r="C79" s="336">
        <f t="shared" ca="1" si="8"/>
        <v>15174828.219000001</v>
      </c>
      <c r="D79" s="336"/>
      <c r="E79" s="336">
        <f t="shared" ca="1" si="21"/>
        <v>136476.90909090909</v>
      </c>
      <c r="F79" s="336">
        <f t="shared" ca="1" si="2"/>
        <v>73817.112090909097</v>
      </c>
      <c r="G79" s="343">
        <f t="shared" ca="1" si="10"/>
        <v>62659.796999999999</v>
      </c>
      <c r="H79" s="336">
        <f t="shared" ca="1" si="11"/>
        <v>15101011.106899999</v>
      </c>
      <c r="I79" s="337">
        <f t="shared" ca="1" si="3"/>
        <v>-15101011</v>
      </c>
    </row>
    <row r="80" spans="1:22">
      <c r="A80" s="335">
        <f t="shared" si="7"/>
        <v>63</v>
      </c>
      <c r="B80" s="340">
        <f t="shared" si="13"/>
        <v>48183</v>
      </c>
      <c r="C80" s="336">
        <f t="shared" ca="1" si="8"/>
        <v>15101011.106899999</v>
      </c>
      <c r="D80" s="335"/>
      <c r="E80" s="336">
        <f t="shared" ca="1" si="21"/>
        <v>136476.90909090909</v>
      </c>
      <c r="F80" s="336">
        <f t="shared" ca="1" si="2"/>
        <v>74124.683090909093</v>
      </c>
      <c r="G80" s="343">
        <f t="shared" ca="1" si="10"/>
        <v>62352.226000000002</v>
      </c>
      <c r="H80" s="336">
        <f t="shared" ca="1" si="11"/>
        <v>15026886.423800001</v>
      </c>
      <c r="I80" s="337">
        <f t="shared" ca="1" si="3"/>
        <v>-15026886</v>
      </c>
    </row>
    <row r="81" spans="1:9">
      <c r="A81" s="335">
        <f t="shared" si="7"/>
        <v>64</v>
      </c>
      <c r="B81" s="340">
        <f t="shared" si="13"/>
        <v>48214</v>
      </c>
      <c r="C81" s="336">
        <f t="shared" ca="1" si="8"/>
        <v>15026886.423800001</v>
      </c>
      <c r="D81" s="335"/>
      <c r="E81" s="336">
        <f t="shared" ca="1" si="21"/>
        <v>136476.90909090909</v>
      </c>
      <c r="F81" s="336">
        <f t="shared" ca="1" si="2"/>
        <v>74433.536090909096</v>
      </c>
      <c r="G81" s="343">
        <f t="shared" ca="1" si="10"/>
        <v>62043.373</v>
      </c>
      <c r="H81" s="336">
        <f t="shared" ca="1" si="11"/>
        <v>14952452.887700001</v>
      </c>
      <c r="I81" s="337">
        <f t="shared" ca="1" si="3"/>
        <v>-14952453</v>
      </c>
    </row>
    <row r="82" spans="1:9">
      <c r="A82" s="335">
        <f t="shared" si="7"/>
        <v>65</v>
      </c>
      <c r="B82" s="340">
        <f t="shared" si="13"/>
        <v>48245</v>
      </c>
      <c r="C82" s="336">
        <f t="shared" ca="1" si="8"/>
        <v>14952452.887700001</v>
      </c>
      <c r="D82" s="335"/>
      <c r="E82" s="336">
        <f t="shared" ca="1" si="21"/>
        <v>136476.90909090909</v>
      </c>
      <c r="F82" s="336">
        <f t="shared" ref="F82:F145" ca="1" si="22">IF(E82="","",E82-G82)</f>
        <v>74743.676090909081</v>
      </c>
      <c r="G82" s="343">
        <f t="shared" ca="1" si="10"/>
        <v>61733.233</v>
      </c>
      <c r="H82" s="336">
        <f t="shared" ca="1" si="11"/>
        <v>14877709.2116</v>
      </c>
      <c r="I82" s="337">
        <f t="shared" ref="I82:I145" ca="1" si="23">ROUND((D82-H82),0)</f>
        <v>-14877709</v>
      </c>
    </row>
    <row r="83" spans="1:9">
      <c r="A83" s="335">
        <f t="shared" ref="A83:A146" si="24">IF(A82="","",IF(A82=$D$6,"",A82+1))</f>
        <v>66</v>
      </c>
      <c r="B83" s="340">
        <f t="shared" si="13"/>
        <v>48274</v>
      </c>
      <c r="C83" s="336">
        <f t="shared" ref="C83:C146" ca="1" si="25">IF(H82=0,0,H82)</f>
        <v>14877709.2116</v>
      </c>
      <c r="D83" s="335"/>
      <c r="E83" s="336">
        <f t="shared" ca="1" si="21"/>
        <v>136476.90909090909</v>
      </c>
      <c r="F83" s="336">
        <f t="shared" ca="1" si="22"/>
        <v>75055.108090909082</v>
      </c>
      <c r="G83" s="343">
        <f t="shared" ref="G83:G146" ca="1" si="26">ROUND((C83-E83)*$D$5,3)</f>
        <v>61421.800999999999</v>
      </c>
      <c r="H83" s="336">
        <f t="shared" ref="H83:H146" ca="1" si="27">IF(E83="","",ROUND(H82-F83,4))</f>
        <v>14802654.103499999</v>
      </c>
      <c r="I83" s="337">
        <f t="shared" ca="1" si="23"/>
        <v>-14802654</v>
      </c>
    </row>
    <row r="84" spans="1:9">
      <c r="A84" s="335">
        <f t="shared" si="24"/>
        <v>67</v>
      </c>
      <c r="B84" s="340">
        <f t="shared" ref="B84:B147" si="28">DATE(YEAR(B83),MONTH(B83)+1,1)</f>
        <v>48305</v>
      </c>
      <c r="C84" s="336">
        <f t="shared" ca="1" si="25"/>
        <v>14802654.103499999</v>
      </c>
      <c r="D84" s="335"/>
      <c r="E84" s="336">
        <f t="shared" ca="1" si="21"/>
        <v>136476.90909090909</v>
      </c>
      <c r="F84" s="336">
        <f t="shared" ca="1" si="22"/>
        <v>75367.837090909088</v>
      </c>
      <c r="G84" s="343">
        <f t="shared" ca="1" si="26"/>
        <v>61109.072</v>
      </c>
      <c r="H84" s="336">
        <f t="shared" ca="1" si="27"/>
        <v>14727286.2664</v>
      </c>
      <c r="I84" s="337">
        <f t="shared" ca="1" si="23"/>
        <v>-14727286</v>
      </c>
    </row>
    <row r="85" spans="1:9">
      <c r="A85" s="335">
        <f t="shared" si="24"/>
        <v>68</v>
      </c>
      <c r="B85" s="340">
        <f t="shared" si="28"/>
        <v>48335</v>
      </c>
      <c r="C85" s="336">
        <f t="shared" ca="1" si="25"/>
        <v>14727286.2664</v>
      </c>
      <c r="D85" s="335"/>
      <c r="E85" s="336">
        <f t="shared" ca="1" si="21"/>
        <v>136476.90909090909</v>
      </c>
      <c r="F85" s="336">
        <f t="shared" ca="1" si="22"/>
        <v>75681.870090909099</v>
      </c>
      <c r="G85" s="343">
        <f t="shared" ca="1" si="26"/>
        <v>60795.038999999997</v>
      </c>
      <c r="H85" s="336">
        <f t="shared" ca="1" si="27"/>
        <v>14651604.396299999</v>
      </c>
      <c r="I85" s="337">
        <f t="shared" ca="1" si="23"/>
        <v>-14651604</v>
      </c>
    </row>
    <row r="86" spans="1:9">
      <c r="A86" s="335">
        <f t="shared" si="24"/>
        <v>69</v>
      </c>
      <c r="B86" s="340">
        <f t="shared" si="28"/>
        <v>48366</v>
      </c>
      <c r="C86" s="336">
        <f t="shared" ca="1" si="25"/>
        <v>14651604.396299999</v>
      </c>
      <c r="D86" s="335"/>
      <c r="E86" s="336">
        <f t="shared" ca="1" si="21"/>
        <v>136476.90909090909</v>
      </c>
      <c r="F86" s="336">
        <f t="shared" ca="1" si="22"/>
        <v>75997.211090909084</v>
      </c>
      <c r="G86" s="343">
        <f t="shared" ca="1" si="26"/>
        <v>60479.697999999997</v>
      </c>
      <c r="H86" s="336">
        <f t="shared" ca="1" si="27"/>
        <v>14575607.1852</v>
      </c>
      <c r="I86" s="337">
        <f t="shared" ca="1" si="23"/>
        <v>-14575607</v>
      </c>
    </row>
    <row r="87" spans="1:9">
      <c r="A87" s="335">
        <f t="shared" si="24"/>
        <v>70</v>
      </c>
      <c r="B87" s="340">
        <f t="shared" si="28"/>
        <v>48396</v>
      </c>
      <c r="C87" s="336">
        <f t="shared" ca="1" si="25"/>
        <v>14575607.1852</v>
      </c>
      <c r="D87" s="335"/>
      <c r="E87" s="336">
        <f t="shared" ca="1" si="21"/>
        <v>136476.90909090909</v>
      </c>
      <c r="F87" s="336">
        <f t="shared" ca="1" si="22"/>
        <v>76313.866090909083</v>
      </c>
      <c r="G87" s="343">
        <f t="shared" ca="1" si="26"/>
        <v>60163.042999999998</v>
      </c>
      <c r="H87" s="336">
        <f t="shared" ca="1" si="27"/>
        <v>14499293.3191</v>
      </c>
      <c r="I87" s="337">
        <f t="shared" ca="1" si="23"/>
        <v>-14499293</v>
      </c>
    </row>
    <row r="88" spans="1:9">
      <c r="A88" s="335">
        <f t="shared" si="24"/>
        <v>71</v>
      </c>
      <c r="B88" s="340">
        <f t="shared" si="28"/>
        <v>48427</v>
      </c>
      <c r="C88" s="336">
        <f t="shared" ca="1" si="25"/>
        <v>14499293.3191</v>
      </c>
      <c r="D88" s="335"/>
      <c r="E88" s="336">
        <f t="shared" ca="1" si="21"/>
        <v>136476.90909090909</v>
      </c>
      <c r="F88" s="336">
        <f t="shared" ca="1" si="22"/>
        <v>76631.841090909089</v>
      </c>
      <c r="G88" s="343">
        <f t="shared" ca="1" si="26"/>
        <v>59845.067999999999</v>
      </c>
      <c r="H88" s="336">
        <f t="shared" ca="1" si="27"/>
        <v>14422661.478</v>
      </c>
      <c r="I88" s="337">
        <f t="shared" ca="1" si="23"/>
        <v>-14422661</v>
      </c>
    </row>
    <row r="89" spans="1:9">
      <c r="A89" s="335">
        <f t="shared" si="24"/>
        <v>72</v>
      </c>
      <c r="B89" s="340">
        <f t="shared" si="28"/>
        <v>48458</v>
      </c>
      <c r="C89" s="336">
        <f t="shared" ca="1" si="25"/>
        <v>14422661.478</v>
      </c>
      <c r="D89" s="336">
        <f ca="1">IF(H89&lt;0,0,(K23-L23)/11)</f>
        <v>139248</v>
      </c>
      <c r="E89" s="336">
        <f t="shared" ca="1" si="21"/>
        <v>136476.90909090909</v>
      </c>
      <c r="F89" s="336">
        <f t="shared" ca="1" si="22"/>
        <v>76951.140090909088</v>
      </c>
      <c r="G89" s="343">
        <f t="shared" ca="1" si="26"/>
        <v>59525.769</v>
      </c>
      <c r="H89" s="336">
        <f t="shared" ca="1" si="27"/>
        <v>14345710.3379</v>
      </c>
      <c r="I89" s="337">
        <f t="shared" ca="1" si="23"/>
        <v>-14206462</v>
      </c>
    </row>
    <row r="90" spans="1:9">
      <c r="A90" s="335">
        <f t="shared" si="24"/>
        <v>73</v>
      </c>
      <c r="B90" s="340">
        <f t="shared" si="28"/>
        <v>48488</v>
      </c>
      <c r="C90" s="336">
        <f t="shared" ca="1" si="25"/>
        <v>14345710.3379</v>
      </c>
      <c r="D90" s="336"/>
      <c r="E90" s="336">
        <f t="shared" ref="E90:E101" si="29">IF($D$10=1,
 IF(OR(MONTH(B90)=MONTH(EDATE($D$7,0)),MONTH(B90)=MONTH(EDATE($D$7,1)),MONTH(B90)=MONTH(EDATE($D$7,2)),MONTH(B90)=MONTH(EDATE($D$7,3)), MONTH(B90)=MONTH(EDATE($D$7,4)),MONTH(B90)=MONTH(EDATE($D$7,5)),MONTH(B90)=MONTH(EDATE($D$7,6)),MONTH(B90)=MONTH(EDATE($D$7,7)),MONTH(B90)=MONTH(EDATE($D$7,8)),MONTH(B90)=MONTH(EDATE($D$7,9)),MONTH(B90)=MONTH(EDATE($D$7,10))),(MIN($D$89,H89)),0),
IF($D$10=0,
 IF(OR(MONTH(B90)=MONTH(EDATE($D$7,1)),MONTH(B90)=MONTH(EDATE($D$7,2)),MONTH(B90)=MONTH(EDATE($D$7,3)),MONTH(B90)=MONTH(EDATE($D$7,4)), MONTH(B90)=MONTH(EDATE($D$7,5)),MONTH(B90)=MONTH(EDATE($D$7,6)),MONTH(B90)=MONTH(EDATE($D$7,7)),MONTH(B90)=MONTH(EDATE($D$7,8)),MONTH(B90)=MONTH(EDATE($D$7,9)),MONTH(B90)=MONTH(EDATE($D$7,10)),MONTH(B90)=MONTH(EDATE($D$7,11))),(MIN($D$89,H89)),0)))</f>
        <v>0</v>
      </c>
      <c r="F90" s="336">
        <f t="shared" ca="1" si="22"/>
        <v>-59773.792999999998</v>
      </c>
      <c r="G90" s="343">
        <f t="shared" ca="1" si="26"/>
        <v>59773.792999999998</v>
      </c>
      <c r="H90" s="336">
        <f t="shared" ca="1" si="27"/>
        <v>14405484.130899999</v>
      </c>
      <c r="I90" s="337">
        <f t="shared" ca="1" si="23"/>
        <v>-14405484</v>
      </c>
    </row>
    <row r="91" spans="1:9">
      <c r="A91" s="335">
        <f t="shared" si="24"/>
        <v>74</v>
      </c>
      <c r="B91" s="340">
        <f t="shared" si="28"/>
        <v>48519</v>
      </c>
      <c r="C91" s="336">
        <f t="shared" ca="1" si="25"/>
        <v>14405484.130899999</v>
      </c>
      <c r="D91" s="336"/>
      <c r="E91" s="336">
        <f t="shared" ca="1" si="29"/>
        <v>139248</v>
      </c>
      <c r="F91" s="336">
        <f t="shared" ca="1" si="22"/>
        <v>79805.349000000002</v>
      </c>
      <c r="G91" s="343">
        <f t="shared" ca="1" si="26"/>
        <v>59442.650999999998</v>
      </c>
      <c r="H91" s="336">
        <f t="shared" ca="1" si="27"/>
        <v>14325678.7819</v>
      </c>
      <c r="I91" s="337">
        <f t="shared" ca="1" si="23"/>
        <v>-14325679</v>
      </c>
    </row>
    <row r="92" spans="1:9">
      <c r="A92" s="335">
        <f t="shared" si="24"/>
        <v>75</v>
      </c>
      <c r="B92" s="340">
        <f t="shared" si="28"/>
        <v>48549</v>
      </c>
      <c r="C92" s="336">
        <f t="shared" ca="1" si="25"/>
        <v>14325678.7819</v>
      </c>
      <c r="D92" s="335"/>
      <c r="E92" s="336">
        <f t="shared" ca="1" si="29"/>
        <v>139248</v>
      </c>
      <c r="F92" s="336">
        <f t="shared" ca="1" si="22"/>
        <v>80137.872000000003</v>
      </c>
      <c r="G92" s="343">
        <f t="shared" ca="1" si="26"/>
        <v>59110.127999999997</v>
      </c>
      <c r="H92" s="336">
        <f t="shared" ca="1" si="27"/>
        <v>14245540.9099</v>
      </c>
      <c r="I92" s="337">
        <f t="shared" ca="1" si="23"/>
        <v>-14245541</v>
      </c>
    </row>
    <row r="93" spans="1:9">
      <c r="A93" s="335">
        <f t="shared" si="24"/>
        <v>76</v>
      </c>
      <c r="B93" s="340">
        <f t="shared" si="28"/>
        <v>48580</v>
      </c>
      <c r="C93" s="336">
        <f t="shared" ca="1" si="25"/>
        <v>14245540.9099</v>
      </c>
      <c r="D93" s="335"/>
      <c r="E93" s="336">
        <f t="shared" ca="1" si="29"/>
        <v>139248</v>
      </c>
      <c r="F93" s="336">
        <f t="shared" ca="1" si="22"/>
        <v>80471.78</v>
      </c>
      <c r="G93" s="343">
        <f t="shared" ca="1" si="26"/>
        <v>58776.22</v>
      </c>
      <c r="H93" s="336">
        <f t="shared" ca="1" si="27"/>
        <v>14165069.129899999</v>
      </c>
      <c r="I93" s="337">
        <f t="shared" ca="1" si="23"/>
        <v>-14165069</v>
      </c>
    </row>
    <row r="94" spans="1:9">
      <c r="A94" s="335">
        <f t="shared" si="24"/>
        <v>77</v>
      </c>
      <c r="B94" s="340">
        <f t="shared" si="28"/>
        <v>48611</v>
      </c>
      <c r="C94" s="336">
        <f t="shared" ca="1" si="25"/>
        <v>14165069.129899999</v>
      </c>
      <c r="D94" s="335"/>
      <c r="E94" s="336">
        <f t="shared" ca="1" si="29"/>
        <v>139248</v>
      </c>
      <c r="F94" s="336">
        <f t="shared" ca="1" si="22"/>
        <v>80807.078999999998</v>
      </c>
      <c r="G94" s="343">
        <f t="shared" ca="1" si="26"/>
        <v>58440.921000000002</v>
      </c>
      <c r="H94" s="336">
        <f t="shared" ca="1" si="27"/>
        <v>14084262.050899999</v>
      </c>
      <c r="I94" s="337">
        <f t="shared" ca="1" si="23"/>
        <v>-14084262</v>
      </c>
    </row>
    <row r="95" spans="1:9">
      <c r="A95" s="335">
        <f t="shared" si="24"/>
        <v>78</v>
      </c>
      <c r="B95" s="340">
        <f t="shared" si="28"/>
        <v>48639</v>
      </c>
      <c r="C95" s="336">
        <f t="shared" ca="1" si="25"/>
        <v>14084262.050899999</v>
      </c>
      <c r="D95" s="335"/>
      <c r="E95" s="336">
        <f t="shared" ca="1" si="29"/>
        <v>139248</v>
      </c>
      <c r="F95" s="336">
        <f t="shared" ca="1" si="22"/>
        <v>81143.774999999994</v>
      </c>
      <c r="G95" s="343">
        <f t="shared" ca="1" si="26"/>
        <v>58104.224999999999</v>
      </c>
      <c r="H95" s="336">
        <f t="shared" ca="1" si="27"/>
        <v>14003118.275900001</v>
      </c>
      <c r="I95" s="337">
        <f t="shared" ca="1" si="23"/>
        <v>-14003118</v>
      </c>
    </row>
    <row r="96" spans="1:9">
      <c r="A96" s="335">
        <f t="shared" si="24"/>
        <v>79</v>
      </c>
      <c r="B96" s="340">
        <f t="shared" si="28"/>
        <v>48670</v>
      </c>
      <c r="C96" s="336">
        <f t="shared" ca="1" si="25"/>
        <v>14003118.275900001</v>
      </c>
      <c r="D96" s="335"/>
      <c r="E96" s="336">
        <f t="shared" ca="1" si="29"/>
        <v>139248</v>
      </c>
      <c r="F96" s="336">
        <f t="shared" ca="1" si="22"/>
        <v>81481.874000000011</v>
      </c>
      <c r="G96" s="343">
        <f t="shared" ca="1" si="26"/>
        <v>57766.125999999997</v>
      </c>
      <c r="H96" s="336">
        <f t="shared" ca="1" si="27"/>
        <v>13921636.401900001</v>
      </c>
      <c r="I96" s="337">
        <f t="shared" ca="1" si="23"/>
        <v>-13921636</v>
      </c>
    </row>
    <row r="97" spans="1:9">
      <c r="A97" s="335">
        <f t="shared" si="24"/>
        <v>80</v>
      </c>
      <c r="B97" s="340">
        <f t="shared" si="28"/>
        <v>48700</v>
      </c>
      <c r="C97" s="336">
        <f t="shared" ca="1" si="25"/>
        <v>13921636.401900001</v>
      </c>
      <c r="D97" s="335"/>
      <c r="E97" s="336">
        <f t="shared" ca="1" si="29"/>
        <v>139248</v>
      </c>
      <c r="F97" s="336">
        <f t="shared" ca="1" si="22"/>
        <v>81821.381999999998</v>
      </c>
      <c r="G97" s="343">
        <f t="shared" ca="1" si="26"/>
        <v>57426.618000000002</v>
      </c>
      <c r="H97" s="336">
        <f t="shared" ca="1" si="27"/>
        <v>13839815.0199</v>
      </c>
      <c r="I97" s="337">
        <f t="shared" ca="1" si="23"/>
        <v>-13839815</v>
      </c>
    </row>
    <row r="98" spans="1:9">
      <c r="A98" s="335">
        <f t="shared" si="24"/>
        <v>81</v>
      </c>
      <c r="B98" s="340">
        <f t="shared" si="28"/>
        <v>48731</v>
      </c>
      <c r="C98" s="336">
        <f t="shared" ca="1" si="25"/>
        <v>13839815.0199</v>
      </c>
      <c r="D98" s="335"/>
      <c r="E98" s="336">
        <f t="shared" ca="1" si="29"/>
        <v>139248</v>
      </c>
      <c r="F98" s="336">
        <f t="shared" ca="1" si="22"/>
        <v>82162.304000000004</v>
      </c>
      <c r="G98" s="343">
        <f t="shared" ca="1" si="26"/>
        <v>57085.696000000004</v>
      </c>
      <c r="H98" s="336">
        <f t="shared" ca="1" si="27"/>
        <v>13757652.7159</v>
      </c>
      <c r="I98" s="337">
        <f t="shared" ca="1" si="23"/>
        <v>-13757653</v>
      </c>
    </row>
    <row r="99" spans="1:9">
      <c r="A99" s="335">
        <f t="shared" si="24"/>
        <v>82</v>
      </c>
      <c r="B99" s="340">
        <f t="shared" si="28"/>
        <v>48761</v>
      </c>
      <c r="C99" s="336">
        <f t="shared" ca="1" si="25"/>
        <v>13757652.7159</v>
      </c>
      <c r="D99" s="335"/>
      <c r="E99" s="336">
        <f t="shared" ca="1" si="29"/>
        <v>139248</v>
      </c>
      <c r="F99" s="336">
        <f t="shared" ca="1" si="22"/>
        <v>82504.646999999997</v>
      </c>
      <c r="G99" s="343">
        <f t="shared" ca="1" si="26"/>
        <v>56743.353000000003</v>
      </c>
      <c r="H99" s="336">
        <f t="shared" ca="1" si="27"/>
        <v>13675148.0689</v>
      </c>
      <c r="I99" s="337">
        <f t="shared" ca="1" si="23"/>
        <v>-13675148</v>
      </c>
    </row>
    <row r="100" spans="1:9">
      <c r="A100" s="335">
        <f t="shared" si="24"/>
        <v>83</v>
      </c>
      <c r="B100" s="340">
        <f t="shared" si="28"/>
        <v>48792</v>
      </c>
      <c r="C100" s="336">
        <f t="shared" ca="1" si="25"/>
        <v>13675148.0689</v>
      </c>
      <c r="D100" s="335"/>
      <c r="E100" s="336">
        <f t="shared" ca="1" si="29"/>
        <v>139248</v>
      </c>
      <c r="F100" s="336">
        <f t="shared" ca="1" si="22"/>
        <v>82848.415999999997</v>
      </c>
      <c r="G100" s="343">
        <f t="shared" ca="1" si="26"/>
        <v>56399.584000000003</v>
      </c>
      <c r="H100" s="336">
        <f t="shared" ca="1" si="27"/>
        <v>13592299.652899999</v>
      </c>
      <c r="I100" s="337">
        <f t="shared" ca="1" si="23"/>
        <v>-13592300</v>
      </c>
    </row>
    <row r="101" spans="1:9">
      <c r="A101" s="335">
        <f t="shared" si="24"/>
        <v>84</v>
      </c>
      <c r="B101" s="340">
        <f t="shared" si="28"/>
        <v>48823</v>
      </c>
      <c r="C101" s="336">
        <f t="shared" ca="1" si="25"/>
        <v>13592299.652899999</v>
      </c>
      <c r="D101" s="336">
        <f ca="1">IF(H101&lt;0,0,(K24-L24)/11)</f>
        <v>142090.36363636365</v>
      </c>
      <c r="E101" s="336">
        <f t="shared" ca="1" si="29"/>
        <v>139248</v>
      </c>
      <c r="F101" s="336">
        <f t="shared" ca="1" si="22"/>
        <v>83193.618000000002</v>
      </c>
      <c r="G101" s="343">
        <f t="shared" ca="1" si="26"/>
        <v>56054.381999999998</v>
      </c>
      <c r="H101" s="336">
        <f t="shared" ca="1" si="27"/>
        <v>13509106.0349</v>
      </c>
      <c r="I101" s="337">
        <f t="shared" ca="1" si="23"/>
        <v>-13367016</v>
      </c>
    </row>
    <row r="102" spans="1:9">
      <c r="A102" s="335">
        <f t="shared" si="24"/>
        <v>85</v>
      </c>
      <c r="B102" s="340">
        <f t="shared" si="28"/>
        <v>48853</v>
      </c>
      <c r="C102" s="336">
        <f t="shared" ca="1" si="25"/>
        <v>13509106.0349</v>
      </c>
      <c r="D102" s="336"/>
      <c r="E102" s="336">
        <f t="shared" ref="E102:E113" si="30">IF($D$10=1,
 IF(OR(MONTH(B102)=MONTH(EDATE($D$7,0)),MONTH(B102)=MONTH(EDATE($D$7,1)),MONTH(B102)=MONTH(EDATE($D$7,2)),MONTH(B102)=MONTH(EDATE($D$7,3)), MONTH(B102)=MONTH(EDATE($D$7,4)),MONTH(B102)=MONTH(EDATE($D$7,5)),MONTH(B102)=MONTH(EDATE($D$7,6)),MONTH(B102)=MONTH(EDATE($D$7,7)),MONTH(B102)=MONTH(EDATE($D$7,8)),MONTH(B102)=MONTH(EDATE($D$7,9)),MONTH(B102)=MONTH(EDATE($D$7,10))),(MIN($D$101,H101)),0),
IF($D$10=0,
 IF(OR(MONTH(B102)=MONTH(EDATE($D$7,1)),MONTH(B102)=MONTH(EDATE($D$7,2)),MONTH(B102)=MONTH(EDATE($D$7,3)),MONTH(B102)=MONTH(EDATE($D$7,4)), MONTH(B102)=MONTH(EDATE($D$7,5)),MONTH(B102)=MONTH(EDATE($D$7,6)),MONTH(B102)=MONTH(EDATE($D$7,7)),MONTH(B102)=MONTH(EDATE($D$7,8)),MONTH(B102)=MONTH(EDATE($D$7,9)),MONTH(B102)=MONTH(EDATE($D$7,10)),MONTH(B102)=MONTH(EDATE($D$7,11))),(MIN($D$101,H101)),0)))</f>
        <v>0</v>
      </c>
      <c r="F102" s="336">
        <f t="shared" ca="1" si="22"/>
        <v>-56287.942000000003</v>
      </c>
      <c r="G102" s="343">
        <f t="shared" ca="1" si="26"/>
        <v>56287.942000000003</v>
      </c>
      <c r="H102" s="336">
        <f t="shared" ca="1" si="27"/>
        <v>13565393.9769</v>
      </c>
      <c r="I102" s="337">
        <f t="shared" ca="1" si="23"/>
        <v>-13565394</v>
      </c>
    </row>
    <row r="103" spans="1:9">
      <c r="A103" s="335">
        <f t="shared" si="24"/>
        <v>86</v>
      </c>
      <c r="B103" s="340">
        <f t="shared" si="28"/>
        <v>48884</v>
      </c>
      <c r="C103" s="336">
        <f t="shared" ca="1" si="25"/>
        <v>13565393.9769</v>
      </c>
      <c r="D103" s="335"/>
      <c r="E103" s="336">
        <f t="shared" ca="1" si="30"/>
        <v>142090.36363636365</v>
      </c>
      <c r="F103" s="336">
        <f t="shared" ca="1" si="22"/>
        <v>86159.931636363646</v>
      </c>
      <c r="G103" s="343">
        <f t="shared" ca="1" si="26"/>
        <v>55930.432000000001</v>
      </c>
      <c r="H103" s="336">
        <f t="shared" ca="1" si="27"/>
        <v>13479234.045299999</v>
      </c>
      <c r="I103" s="337">
        <f t="shared" ca="1" si="23"/>
        <v>-13479234</v>
      </c>
    </row>
    <row r="104" spans="1:9">
      <c r="A104" s="335">
        <f t="shared" si="24"/>
        <v>87</v>
      </c>
      <c r="B104" s="340">
        <f t="shared" si="28"/>
        <v>48914</v>
      </c>
      <c r="C104" s="336">
        <f t="shared" ca="1" si="25"/>
        <v>13479234.045299999</v>
      </c>
      <c r="D104" s="335"/>
      <c r="E104" s="336">
        <f t="shared" ca="1" si="30"/>
        <v>142090.36363636365</v>
      </c>
      <c r="F104" s="336">
        <f t="shared" ca="1" si="22"/>
        <v>86518.931636363646</v>
      </c>
      <c r="G104" s="343">
        <f t="shared" ca="1" si="26"/>
        <v>55571.432000000001</v>
      </c>
      <c r="H104" s="336">
        <f t="shared" ca="1" si="27"/>
        <v>13392715.113700001</v>
      </c>
      <c r="I104" s="337">
        <f t="shared" ca="1" si="23"/>
        <v>-13392715</v>
      </c>
    </row>
    <row r="105" spans="1:9">
      <c r="A105" s="335">
        <f t="shared" si="24"/>
        <v>88</v>
      </c>
      <c r="B105" s="340">
        <f t="shared" si="28"/>
        <v>48945</v>
      </c>
      <c r="C105" s="336">
        <f t="shared" ca="1" si="25"/>
        <v>13392715.113700001</v>
      </c>
      <c r="D105" s="335"/>
      <c r="E105" s="336">
        <f t="shared" ca="1" si="30"/>
        <v>142090.36363636365</v>
      </c>
      <c r="F105" s="336">
        <f t="shared" ca="1" si="22"/>
        <v>86879.427636363645</v>
      </c>
      <c r="G105" s="343">
        <f t="shared" ca="1" si="26"/>
        <v>55210.936000000002</v>
      </c>
      <c r="H105" s="336">
        <f t="shared" ca="1" si="27"/>
        <v>13305835.686100001</v>
      </c>
      <c r="I105" s="337">
        <f t="shared" ca="1" si="23"/>
        <v>-13305836</v>
      </c>
    </row>
    <row r="106" spans="1:9">
      <c r="A106" s="335">
        <f t="shared" si="24"/>
        <v>89</v>
      </c>
      <c r="B106" s="340">
        <f t="shared" si="28"/>
        <v>48976</v>
      </c>
      <c r="C106" s="336">
        <f t="shared" ca="1" si="25"/>
        <v>13305835.686100001</v>
      </c>
      <c r="D106" s="335"/>
      <c r="E106" s="336">
        <f t="shared" ca="1" si="30"/>
        <v>142090.36363636365</v>
      </c>
      <c r="F106" s="336">
        <f t="shared" ca="1" si="22"/>
        <v>87241.424636363648</v>
      </c>
      <c r="G106" s="343">
        <f t="shared" ca="1" si="26"/>
        <v>54848.938999999998</v>
      </c>
      <c r="H106" s="336">
        <f t="shared" ca="1" si="27"/>
        <v>13218594.261499999</v>
      </c>
      <c r="I106" s="337">
        <f t="shared" ca="1" si="23"/>
        <v>-13218594</v>
      </c>
    </row>
    <row r="107" spans="1:9">
      <c r="A107" s="335">
        <f t="shared" si="24"/>
        <v>90</v>
      </c>
      <c r="B107" s="340">
        <f t="shared" si="28"/>
        <v>49004</v>
      </c>
      <c r="C107" s="336">
        <f t="shared" ca="1" si="25"/>
        <v>13218594.261499999</v>
      </c>
      <c r="D107" s="335"/>
      <c r="E107" s="336">
        <f t="shared" ca="1" si="30"/>
        <v>142090.36363636365</v>
      </c>
      <c r="F107" s="336">
        <f t="shared" ca="1" si="22"/>
        <v>87604.930636363657</v>
      </c>
      <c r="G107" s="343">
        <f t="shared" ca="1" si="26"/>
        <v>54485.432999999997</v>
      </c>
      <c r="H107" s="336">
        <f t="shared" ca="1" si="27"/>
        <v>13130989.3309</v>
      </c>
      <c r="I107" s="337">
        <f t="shared" ca="1" si="23"/>
        <v>-13130989</v>
      </c>
    </row>
    <row r="108" spans="1:9">
      <c r="A108" s="335">
        <f t="shared" si="24"/>
        <v>91</v>
      </c>
      <c r="B108" s="340">
        <f t="shared" si="28"/>
        <v>49035</v>
      </c>
      <c r="C108" s="336">
        <f t="shared" ca="1" si="25"/>
        <v>13130989.3309</v>
      </c>
      <c r="D108" s="335"/>
      <c r="E108" s="336">
        <f t="shared" ca="1" si="30"/>
        <v>142090.36363636365</v>
      </c>
      <c r="F108" s="336">
        <f t="shared" ca="1" si="22"/>
        <v>87969.95163636365</v>
      </c>
      <c r="G108" s="343">
        <f t="shared" ca="1" si="26"/>
        <v>54120.411999999997</v>
      </c>
      <c r="H108" s="336">
        <f t="shared" ca="1" si="27"/>
        <v>13043019.3793</v>
      </c>
      <c r="I108" s="337">
        <f t="shared" ca="1" si="23"/>
        <v>-13043019</v>
      </c>
    </row>
    <row r="109" spans="1:9">
      <c r="A109" s="335">
        <f t="shared" si="24"/>
        <v>92</v>
      </c>
      <c r="B109" s="340">
        <f t="shared" si="28"/>
        <v>49065</v>
      </c>
      <c r="C109" s="336">
        <f t="shared" ca="1" si="25"/>
        <v>13043019.3793</v>
      </c>
      <c r="D109" s="335"/>
      <c r="E109" s="336">
        <f t="shared" ca="1" si="30"/>
        <v>142090.36363636365</v>
      </c>
      <c r="F109" s="336">
        <f t="shared" ca="1" si="22"/>
        <v>88336.492636363648</v>
      </c>
      <c r="G109" s="343">
        <f t="shared" ca="1" si="26"/>
        <v>53753.870999999999</v>
      </c>
      <c r="H109" s="336">
        <f t="shared" ca="1" si="27"/>
        <v>12954682.886700001</v>
      </c>
      <c r="I109" s="337">
        <f t="shared" ca="1" si="23"/>
        <v>-12954683</v>
      </c>
    </row>
    <row r="110" spans="1:9">
      <c r="A110" s="335">
        <f t="shared" si="24"/>
        <v>93</v>
      </c>
      <c r="B110" s="340">
        <f t="shared" si="28"/>
        <v>49096</v>
      </c>
      <c r="C110" s="336">
        <f t="shared" ca="1" si="25"/>
        <v>12954682.886700001</v>
      </c>
      <c r="D110" s="335"/>
      <c r="E110" s="336">
        <f t="shared" ca="1" si="30"/>
        <v>142090.36363636365</v>
      </c>
      <c r="F110" s="336">
        <f t="shared" ca="1" si="22"/>
        <v>88704.561636363651</v>
      </c>
      <c r="G110" s="343">
        <f t="shared" ca="1" si="26"/>
        <v>53385.802000000003</v>
      </c>
      <c r="H110" s="336">
        <f t="shared" ca="1" si="27"/>
        <v>12865978.325099999</v>
      </c>
      <c r="I110" s="337">
        <f t="shared" ca="1" si="23"/>
        <v>-12865978</v>
      </c>
    </row>
    <row r="111" spans="1:9">
      <c r="A111" s="335">
        <f t="shared" si="24"/>
        <v>94</v>
      </c>
      <c r="B111" s="340">
        <f t="shared" si="28"/>
        <v>49126</v>
      </c>
      <c r="C111" s="336">
        <f t="shared" ca="1" si="25"/>
        <v>12865978.325099999</v>
      </c>
      <c r="D111" s="335"/>
      <c r="E111" s="336">
        <f t="shared" ca="1" si="30"/>
        <v>142090.36363636365</v>
      </c>
      <c r="F111" s="336">
        <f t="shared" ca="1" si="22"/>
        <v>89074.16363636365</v>
      </c>
      <c r="G111" s="343">
        <f t="shared" ca="1" si="26"/>
        <v>53016.2</v>
      </c>
      <c r="H111" s="336">
        <f t="shared" ca="1" si="27"/>
        <v>12776904.161499999</v>
      </c>
      <c r="I111" s="337">
        <f t="shared" ca="1" si="23"/>
        <v>-12776904</v>
      </c>
    </row>
    <row r="112" spans="1:9">
      <c r="A112" s="335">
        <f t="shared" si="24"/>
        <v>95</v>
      </c>
      <c r="B112" s="340">
        <f t="shared" si="28"/>
        <v>49157</v>
      </c>
      <c r="C112" s="336">
        <f t="shared" ca="1" si="25"/>
        <v>12776904.161499999</v>
      </c>
      <c r="D112" s="335"/>
      <c r="E112" s="336">
        <f t="shared" ca="1" si="30"/>
        <v>142090.36363636365</v>
      </c>
      <c r="F112" s="336">
        <f t="shared" ca="1" si="22"/>
        <v>89445.306636363646</v>
      </c>
      <c r="G112" s="343">
        <f t="shared" ca="1" si="26"/>
        <v>52645.057000000001</v>
      </c>
      <c r="H112" s="336">
        <f t="shared" ca="1" si="27"/>
        <v>12687458.854900001</v>
      </c>
      <c r="I112" s="337">
        <f t="shared" ca="1" si="23"/>
        <v>-12687459</v>
      </c>
    </row>
    <row r="113" spans="1:9">
      <c r="A113" s="335">
        <f t="shared" si="24"/>
        <v>96</v>
      </c>
      <c r="B113" s="340">
        <f t="shared" si="28"/>
        <v>49188</v>
      </c>
      <c r="C113" s="336">
        <f t="shared" ca="1" si="25"/>
        <v>12687458.854900001</v>
      </c>
      <c r="D113" s="336">
        <f ca="1">IF(H113&lt;0,0,(K25-L25)/11)</f>
        <v>145006.36363636365</v>
      </c>
      <c r="E113" s="336">
        <f t="shared" ca="1" si="30"/>
        <v>142090.36363636365</v>
      </c>
      <c r="F113" s="336">
        <f t="shared" ca="1" si="22"/>
        <v>89817.994636363641</v>
      </c>
      <c r="G113" s="343">
        <f t="shared" ca="1" si="26"/>
        <v>52272.368999999999</v>
      </c>
      <c r="H113" s="336">
        <f ca="1">IF(E113="","",ROUND(H112-F113,4))</f>
        <v>12597640.860300001</v>
      </c>
      <c r="I113" s="337">
        <f t="shared" ca="1" si="23"/>
        <v>-12452634</v>
      </c>
    </row>
    <row r="114" spans="1:9">
      <c r="A114" s="335">
        <f t="shared" si="24"/>
        <v>97</v>
      </c>
      <c r="B114" s="340">
        <f t="shared" si="28"/>
        <v>49218</v>
      </c>
      <c r="C114" s="336">
        <f t="shared" ca="1" si="25"/>
        <v>12597640.860300001</v>
      </c>
      <c r="D114" s="336"/>
      <c r="E114" s="336">
        <f t="shared" ref="E114:E125" si="31">IF($D$10=1,
 IF(OR(MONTH(B114)=MONTH(EDATE($D$7,0)),MONTH(B114)=MONTH(EDATE($D$7,1)),MONTH(B114)=MONTH(EDATE($D$7,2)),MONTH(B114)=MONTH(EDATE($D$7,3)), MONTH(B114)=MONTH(EDATE($D$7,4)),MONTH(B114)=MONTH(EDATE($D$7,5)),MONTH(B114)=MONTH(EDATE($D$7,6)),MONTH(B114)=MONTH(EDATE($D$7,7)),MONTH(B114)=MONTH(EDATE($D$7,8)),MONTH(B114)=MONTH(EDATE($D$7,9)),MONTH(B114)=MONTH(EDATE($D$7,10))),(MIN($D$113,H113)),0),
IF($D$10=0,
 IF(OR(MONTH(B114)=MONTH(EDATE($D$7,1)),MONTH(B114)=MONTH(EDATE($D$7,2)),MONTH(B114)=MONTH(EDATE($D$7,3)),MONTH(B114)=MONTH(EDATE($D$7,4)), MONTH(B114)=MONTH(EDATE($D$7,5)),MONTH(B114)=MONTH(EDATE($D$7,6)),MONTH(B114)=MONTH(EDATE($D$7,7)),MONTH(B114)=MONTH(EDATE($D$7,8)),MONTH(B114)=MONTH(EDATE($D$7,9)),MONTH(B114)=MONTH(EDATE($D$7,10)),MONTH(B114)=MONTH(EDATE($D$7,11))),(MIN($D$113,H113)),0)))</f>
        <v>0</v>
      </c>
      <c r="F114" s="336">
        <f t="shared" ca="1" si="22"/>
        <v>-52490.17</v>
      </c>
      <c r="G114" s="343">
        <f t="shared" ca="1" si="26"/>
        <v>52490.17</v>
      </c>
      <c r="H114" s="336">
        <f ca="1">IF(E114="","",ROUND(H113-F114,4))</f>
        <v>12650131.030300001</v>
      </c>
      <c r="I114" s="337">
        <f t="shared" ca="1" si="23"/>
        <v>-12650131</v>
      </c>
    </row>
    <row r="115" spans="1:9">
      <c r="A115" s="335">
        <f t="shared" si="24"/>
        <v>98</v>
      </c>
      <c r="B115" s="340">
        <f t="shared" si="28"/>
        <v>49249</v>
      </c>
      <c r="C115" s="336">
        <f t="shared" ca="1" si="25"/>
        <v>12650131.030300001</v>
      </c>
      <c r="D115" s="335"/>
      <c r="E115" s="336">
        <f t="shared" ca="1" si="31"/>
        <v>145006.36363636365</v>
      </c>
      <c r="F115" s="336">
        <f t="shared" ca="1" si="22"/>
        <v>92901.677636363645</v>
      </c>
      <c r="G115" s="343">
        <f t="shared" ca="1" si="26"/>
        <v>52104.686000000002</v>
      </c>
      <c r="H115" s="336">
        <f t="shared" ca="1" si="27"/>
        <v>12557229.352700001</v>
      </c>
      <c r="I115" s="337">
        <f t="shared" ca="1" si="23"/>
        <v>-12557229</v>
      </c>
    </row>
    <row r="116" spans="1:9">
      <c r="A116" s="335">
        <f t="shared" si="24"/>
        <v>99</v>
      </c>
      <c r="B116" s="340">
        <f t="shared" si="28"/>
        <v>49279</v>
      </c>
      <c r="C116" s="336">
        <f t="shared" ca="1" si="25"/>
        <v>12557229.352700001</v>
      </c>
      <c r="D116" s="335"/>
      <c r="E116" s="336">
        <f t="shared" ca="1" si="31"/>
        <v>145006.36363636365</v>
      </c>
      <c r="F116" s="336">
        <f t="shared" ca="1" si="22"/>
        <v>93288.767636363656</v>
      </c>
      <c r="G116" s="343">
        <f t="shared" ca="1" si="26"/>
        <v>51717.595999999998</v>
      </c>
      <c r="H116" s="336">
        <f t="shared" ca="1" si="27"/>
        <v>12463940.585100001</v>
      </c>
      <c r="I116" s="337">
        <f t="shared" ca="1" si="23"/>
        <v>-12463941</v>
      </c>
    </row>
    <row r="117" spans="1:9">
      <c r="A117" s="335">
        <f t="shared" si="24"/>
        <v>100</v>
      </c>
      <c r="B117" s="340">
        <f t="shared" si="28"/>
        <v>49310</v>
      </c>
      <c r="C117" s="336">
        <f t="shared" ca="1" si="25"/>
        <v>12463940.585100001</v>
      </c>
      <c r="D117" s="335"/>
      <c r="E117" s="336">
        <f t="shared" ca="1" si="31"/>
        <v>145006.36363636365</v>
      </c>
      <c r="F117" s="336">
        <f t="shared" ca="1" si="22"/>
        <v>93677.470636363651</v>
      </c>
      <c r="G117" s="343">
        <f t="shared" ca="1" si="26"/>
        <v>51328.892999999996</v>
      </c>
      <c r="H117" s="336">
        <f t="shared" ca="1" si="27"/>
        <v>12370263.114499999</v>
      </c>
      <c r="I117" s="337">
        <f t="shared" ca="1" si="23"/>
        <v>-12370263</v>
      </c>
    </row>
    <row r="118" spans="1:9">
      <c r="A118" s="335">
        <f t="shared" si="24"/>
        <v>101</v>
      </c>
      <c r="B118" s="340">
        <f t="shared" si="28"/>
        <v>49341</v>
      </c>
      <c r="C118" s="336">
        <f t="shared" ca="1" si="25"/>
        <v>12370263.114499999</v>
      </c>
      <c r="D118" s="335"/>
      <c r="E118" s="336">
        <f t="shared" ca="1" si="31"/>
        <v>145006.36363636365</v>
      </c>
      <c r="F118" s="336">
        <f t="shared" ca="1" si="22"/>
        <v>94067.79363636364</v>
      </c>
      <c r="G118" s="343">
        <f t="shared" ca="1" si="26"/>
        <v>50938.57</v>
      </c>
      <c r="H118" s="336">
        <f t="shared" ca="1" si="27"/>
        <v>12276195.320900001</v>
      </c>
      <c r="I118" s="337">
        <f t="shared" ca="1" si="23"/>
        <v>-12276195</v>
      </c>
    </row>
    <row r="119" spans="1:9">
      <c r="A119" s="335">
        <f t="shared" si="24"/>
        <v>102</v>
      </c>
      <c r="B119" s="340">
        <f t="shared" si="28"/>
        <v>49369</v>
      </c>
      <c r="C119" s="336">
        <f t="shared" ca="1" si="25"/>
        <v>12276195.320900001</v>
      </c>
      <c r="D119" s="335"/>
      <c r="E119" s="336">
        <f t="shared" ca="1" si="31"/>
        <v>145006.36363636365</v>
      </c>
      <c r="F119" s="336">
        <f t="shared" ca="1" si="22"/>
        <v>94459.742636363648</v>
      </c>
      <c r="G119" s="343">
        <f t="shared" ca="1" si="26"/>
        <v>50546.620999999999</v>
      </c>
      <c r="H119" s="336">
        <f t="shared" ca="1" si="27"/>
        <v>12181735.578299999</v>
      </c>
      <c r="I119" s="337">
        <f t="shared" ca="1" si="23"/>
        <v>-12181736</v>
      </c>
    </row>
    <row r="120" spans="1:9">
      <c r="A120" s="335">
        <f t="shared" si="24"/>
        <v>103</v>
      </c>
      <c r="B120" s="340">
        <f t="shared" si="28"/>
        <v>49400</v>
      </c>
      <c r="C120" s="336">
        <f t="shared" ca="1" si="25"/>
        <v>12181735.578299999</v>
      </c>
      <c r="D120" s="335"/>
      <c r="E120" s="336">
        <f t="shared" ca="1" si="31"/>
        <v>145006.36363636365</v>
      </c>
      <c r="F120" s="336">
        <f t="shared" ca="1" si="22"/>
        <v>94853.325636363646</v>
      </c>
      <c r="G120" s="343">
        <f t="shared" ca="1" si="26"/>
        <v>50153.038</v>
      </c>
      <c r="H120" s="336">
        <f t="shared" ca="1" si="27"/>
        <v>12086882.252699999</v>
      </c>
      <c r="I120" s="337">
        <f t="shared" ca="1" si="23"/>
        <v>-12086882</v>
      </c>
    </row>
    <row r="121" spans="1:9">
      <c r="A121" s="335">
        <f t="shared" si="24"/>
        <v>104</v>
      </c>
      <c r="B121" s="340">
        <f t="shared" si="28"/>
        <v>49430</v>
      </c>
      <c r="C121" s="336">
        <f t="shared" ca="1" si="25"/>
        <v>12086882.252699999</v>
      </c>
      <c r="D121" s="335"/>
      <c r="E121" s="336">
        <f t="shared" ca="1" si="31"/>
        <v>145006.36363636365</v>
      </c>
      <c r="F121" s="336">
        <f t="shared" ca="1" si="22"/>
        <v>95248.547636363655</v>
      </c>
      <c r="G121" s="343">
        <f t="shared" ca="1" si="26"/>
        <v>49757.815999999999</v>
      </c>
      <c r="H121" s="336">
        <f t="shared" ca="1" si="27"/>
        <v>11991633.7051</v>
      </c>
      <c r="I121" s="337">
        <f t="shared" ca="1" si="23"/>
        <v>-11991634</v>
      </c>
    </row>
    <row r="122" spans="1:9">
      <c r="A122" s="335">
        <f t="shared" si="24"/>
        <v>105</v>
      </c>
      <c r="B122" s="340">
        <f t="shared" si="28"/>
        <v>49461</v>
      </c>
      <c r="C122" s="336">
        <f t="shared" ca="1" si="25"/>
        <v>11991633.7051</v>
      </c>
      <c r="D122" s="335"/>
      <c r="E122" s="336">
        <f t="shared" ca="1" si="31"/>
        <v>145006.36363636365</v>
      </c>
      <c r="F122" s="336">
        <f t="shared" ca="1" si="22"/>
        <v>95645.416636363647</v>
      </c>
      <c r="G122" s="343">
        <f t="shared" ca="1" si="26"/>
        <v>49360.947</v>
      </c>
      <c r="H122" s="336">
        <f t="shared" ca="1" si="27"/>
        <v>11895988.2885</v>
      </c>
      <c r="I122" s="337">
        <f t="shared" ca="1" si="23"/>
        <v>-11895988</v>
      </c>
    </row>
    <row r="123" spans="1:9">
      <c r="A123" s="335">
        <f t="shared" si="24"/>
        <v>106</v>
      </c>
      <c r="B123" s="340">
        <f t="shared" si="28"/>
        <v>49491</v>
      </c>
      <c r="C123" s="336">
        <f t="shared" ca="1" si="25"/>
        <v>11895988.2885</v>
      </c>
      <c r="D123" s="335"/>
      <c r="E123" s="336">
        <f t="shared" ca="1" si="31"/>
        <v>145006.36363636365</v>
      </c>
      <c r="F123" s="336">
        <f t="shared" ca="1" si="22"/>
        <v>96043.938636363644</v>
      </c>
      <c r="G123" s="343">
        <f t="shared" ca="1" si="26"/>
        <v>48962.425000000003</v>
      </c>
      <c r="H123" s="336">
        <f t="shared" ca="1" si="27"/>
        <v>11799944.3499</v>
      </c>
      <c r="I123" s="337">
        <f t="shared" ca="1" si="23"/>
        <v>-11799944</v>
      </c>
    </row>
    <row r="124" spans="1:9">
      <c r="A124" s="335">
        <f t="shared" si="24"/>
        <v>107</v>
      </c>
      <c r="B124" s="340">
        <f t="shared" si="28"/>
        <v>49522</v>
      </c>
      <c r="C124" s="336">
        <f t="shared" ca="1" si="25"/>
        <v>11799944.3499</v>
      </c>
      <c r="D124" s="335"/>
      <c r="E124" s="336">
        <f t="shared" ca="1" si="31"/>
        <v>145006.36363636365</v>
      </c>
      <c r="F124" s="336">
        <f t="shared" ca="1" si="22"/>
        <v>96444.121636363649</v>
      </c>
      <c r="G124" s="343">
        <f t="shared" ca="1" si="26"/>
        <v>48562.241999999998</v>
      </c>
      <c r="H124" s="336">
        <f t="shared" ca="1" si="27"/>
        <v>11703500.2283</v>
      </c>
      <c r="I124" s="337">
        <f t="shared" ca="1" si="23"/>
        <v>-11703500</v>
      </c>
    </row>
    <row r="125" spans="1:9">
      <c r="A125" s="335">
        <f t="shared" si="24"/>
        <v>108</v>
      </c>
      <c r="B125" s="340">
        <f t="shared" si="28"/>
        <v>49553</v>
      </c>
      <c r="C125" s="336">
        <f t="shared" ca="1" si="25"/>
        <v>11703500.2283</v>
      </c>
      <c r="D125" s="336">
        <f ca="1">IF(H125&lt;0,0,(K26-L26)/11)</f>
        <v>147998.36363636365</v>
      </c>
      <c r="E125" s="336">
        <f t="shared" ca="1" si="31"/>
        <v>145006.36363636365</v>
      </c>
      <c r="F125" s="336">
        <f t="shared" ca="1" si="22"/>
        <v>96845.972636363644</v>
      </c>
      <c r="G125" s="343">
        <f t="shared" ca="1" si="26"/>
        <v>48160.391000000003</v>
      </c>
      <c r="H125" s="336">
        <f ca="1">IF(E125="","",ROUND(H124-F125,4))</f>
        <v>11606654.2557</v>
      </c>
      <c r="I125" s="337">
        <f t="shared" ca="1" si="23"/>
        <v>-11458656</v>
      </c>
    </row>
    <row r="126" spans="1:9">
      <c r="A126" s="335">
        <f t="shared" si="24"/>
        <v>109</v>
      </c>
      <c r="B126" s="340">
        <f t="shared" si="28"/>
        <v>49583</v>
      </c>
      <c r="C126" s="336">
        <f t="shared" ca="1" si="25"/>
        <v>11606654.2557</v>
      </c>
      <c r="D126" s="336"/>
      <c r="E126" s="336">
        <f t="shared" ref="E126:E137" si="32">IF($D$10=1,
 IF(OR(MONTH(B126)=MONTH(EDATE($D$7,0)),MONTH(B126)=MONTH(EDATE($D$7,1)),MONTH(B126)=MONTH(EDATE($D$7,2)),MONTH(B126)=MONTH(EDATE($D$7,3)), MONTH(B126)=MONTH(EDATE($D$7,4)),MONTH(B126)=MONTH(EDATE($D$7,5)),MONTH(B126)=MONTH(EDATE($D$7,6)),MONTH(B126)=MONTH(EDATE($D$7,7)),MONTH(B126)=MONTH(EDATE($D$7,8)),MONTH(B126)=MONTH(EDATE($D$7,9)),MONTH(B126)=MONTH(EDATE($D$7,10))),(MIN($D$125,H125)),0),
IF($D$10=0,
 IF(OR(MONTH(B126)=MONTH(EDATE($D$7,1)),MONTH(B126)=MONTH(EDATE($D$7,2)),MONTH(B126)=MONTH(EDATE($D$7,3)),MONTH(B126)=MONTH(EDATE($D$7,4)), MONTH(B126)=MONTH(EDATE($D$7,5)),MONTH(B126)=MONTH(EDATE($D$7,6)),MONTH(B126)=MONTH(EDATE($D$7,7)),MONTH(B126)=MONTH(EDATE($D$7,8)),MONTH(B126)=MONTH(EDATE($D$7,9)),MONTH(B126)=MONTH(EDATE($D$7,10)),MONTH(B126)=MONTH(EDATE($D$7,11))),(MIN($D$125,H125)),0)))</f>
        <v>0</v>
      </c>
      <c r="F126" s="336">
        <f t="shared" ca="1" si="22"/>
        <v>-48361.059000000001</v>
      </c>
      <c r="G126" s="343">
        <f t="shared" ca="1" si="26"/>
        <v>48361.059000000001</v>
      </c>
      <c r="H126" s="336">
        <f t="shared" ca="1" si="27"/>
        <v>11655015.3147</v>
      </c>
      <c r="I126" s="337">
        <f t="shared" ca="1" si="23"/>
        <v>-11655015</v>
      </c>
    </row>
    <row r="127" spans="1:9">
      <c r="A127" s="335">
        <f t="shared" si="24"/>
        <v>110</v>
      </c>
      <c r="B127" s="340">
        <f t="shared" si="28"/>
        <v>49614</v>
      </c>
      <c r="C127" s="336">
        <f t="shared" ca="1" si="25"/>
        <v>11655015.3147</v>
      </c>
      <c r="D127" s="335"/>
      <c r="E127" s="336">
        <f t="shared" ca="1" si="32"/>
        <v>147998.36363636365</v>
      </c>
      <c r="F127" s="336">
        <f t="shared" ca="1" si="22"/>
        <v>100052.45963636364</v>
      </c>
      <c r="G127" s="343">
        <f t="shared" ca="1" si="26"/>
        <v>47945.904000000002</v>
      </c>
      <c r="H127" s="336">
        <f t="shared" ca="1" si="27"/>
        <v>11554962.8551</v>
      </c>
      <c r="I127" s="337">
        <f t="shared" ca="1" si="23"/>
        <v>-11554963</v>
      </c>
    </row>
    <row r="128" spans="1:9">
      <c r="A128" s="335">
        <f t="shared" si="24"/>
        <v>111</v>
      </c>
      <c r="B128" s="340">
        <f t="shared" si="28"/>
        <v>49644</v>
      </c>
      <c r="C128" s="336">
        <f t="shared" ca="1" si="25"/>
        <v>11554962.8551</v>
      </c>
      <c r="D128" s="335"/>
      <c r="E128" s="336">
        <f t="shared" ca="1" si="32"/>
        <v>147998.36363636365</v>
      </c>
      <c r="F128" s="336">
        <f t="shared" ca="1" si="22"/>
        <v>100469.34463636365</v>
      </c>
      <c r="G128" s="343">
        <f t="shared" ca="1" si="26"/>
        <v>47529.019</v>
      </c>
      <c r="H128" s="336">
        <f t="shared" ca="1" si="27"/>
        <v>11454493.510500001</v>
      </c>
      <c r="I128" s="337">
        <f t="shared" ca="1" si="23"/>
        <v>-11454494</v>
      </c>
    </row>
    <row r="129" spans="1:9">
      <c r="A129" s="335">
        <f t="shared" si="24"/>
        <v>112</v>
      </c>
      <c r="B129" s="340">
        <f t="shared" si="28"/>
        <v>49675</v>
      </c>
      <c r="C129" s="336">
        <f t="shared" ca="1" si="25"/>
        <v>11454493.510500001</v>
      </c>
      <c r="D129" s="335"/>
      <c r="E129" s="336">
        <f t="shared" ca="1" si="32"/>
        <v>147998.36363636365</v>
      </c>
      <c r="F129" s="336">
        <f t="shared" ca="1" si="22"/>
        <v>100887.96763636364</v>
      </c>
      <c r="G129" s="343">
        <f t="shared" ca="1" si="26"/>
        <v>47110.396000000001</v>
      </c>
      <c r="H129" s="336">
        <f t="shared" ca="1" si="27"/>
        <v>11353605.5429</v>
      </c>
      <c r="I129" s="337">
        <f t="shared" ca="1" si="23"/>
        <v>-11353606</v>
      </c>
    </row>
    <row r="130" spans="1:9">
      <c r="A130" s="335">
        <f t="shared" si="24"/>
        <v>113</v>
      </c>
      <c r="B130" s="340">
        <f t="shared" si="28"/>
        <v>49706</v>
      </c>
      <c r="C130" s="336">
        <f t="shared" ca="1" si="25"/>
        <v>11353605.5429</v>
      </c>
      <c r="D130" s="335"/>
      <c r="E130" s="336">
        <f t="shared" ca="1" si="32"/>
        <v>147998.36363636365</v>
      </c>
      <c r="F130" s="336">
        <f t="shared" ca="1" si="22"/>
        <v>101308.33363636365</v>
      </c>
      <c r="G130" s="343">
        <f t="shared" ca="1" si="26"/>
        <v>46690.03</v>
      </c>
      <c r="H130" s="336">
        <f t="shared" ca="1" si="27"/>
        <v>11252297.2093</v>
      </c>
      <c r="I130" s="337">
        <f t="shared" ca="1" si="23"/>
        <v>-11252297</v>
      </c>
    </row>
    <row r="131" spans="1:9">
      <c r="A131" s="335">
        <f t="shared" si="24"/>
        <v>114</v>
      </c>
      <c r="B131" s="340">
        <f t="shared" si="28"/>
        <v>49735</v>
      </c>
      <c r="C131" s="336">
        <f t="shared" ca="1" si="25"/>
        <v>11252297.2093</v>
      </c>
      <c r="D131" s="335"/>
      <c r="E131" s="336">
        <f t="shared" ca="1" si="32"/>
        <v>147998.36363636365</v>
      </c>
      <c r="F131" s="336">
        <f t="shared" ca="1" si="22"/>
        <v>101730.45163636365</v>
      </c>
      <c r="G131" s="343">
        <f t="shared" ca="1" si="26"/>
        <v>46267.911999999997</v>
      </c>
      <c r="H131" s="336">
        <f t="shared" ca="1" si="27"/>
        <v>11150566.7577</v>
      </c>
      <c r="I131" s="337">
        <f t="shared" ca="1" si="23"/>
        <v>-11150567</v>
      </c>
    </row>
    <row r="132" spans="1:9">
      <c r="A132" s="335">
        <f t="shared" si="24"/>
        <v>115</v>
      </c>
      <c r="B132" s="340">
        <f t="shared" si="28"/>
        <v>49766</v>
      </c>
      <c r="C132" s="336">
        <f t="shared" ca="1" si="25"/>
        <v>11150566.7577</v>
      </c>
      <c r="D132" s="335"/>
      <c r="E132" s="336">
        <f t="shared" ca="1" si="32"/>
        <v>147998.36363636365</v>
      </c>
      <c r="F132" s="336">
        <f t="shared" ca="1" si="22"/>
        <v>102154.32863636364</v>
      </c>
      <c r="G132" s="343">
        <f t="shared" ca="1" si="26"/>
        <v>45844.035000000003</v>
      </c>
      <c r="H132" s="336">
        <f t="shared" ca="1" si="27"/>
        <v>11048412.429099999</v>
      </c>
      <c r="I132" s="337">
        <f t="shared" ca="1" si="23"/>
        <v>-11048412</v>
      </c>
    </row>
    <row r="133" spans="1:9">
      <c r="A133" s="335">
        <f t="shared" si="24"/>
        <v>116</v>
      </c>
      <c r="B133" s="340">
        <f t="shared" si="28"/>
        <v>49796</v>
      </c>
      <c r="C133" s="336">
        <f t="shared" ca="1" si="25"/>
        <v>11048412.429099999</v>
      </c>
      <c r="D133" s="335"/>
      <c r="E133" s="336">
        <f t="shared" ca="1" si="32"/>
        <v>147998.36363636365</v>
      </c>
      <c r="F133" s="336">
        <f t="shared" ca="1" si="22"/>
        <v>102579.97163636365</v>
      </c>
      <c r="G133" s="343">
        <f t="shared" ca="1" si="26"/>
        <v>45418.392</v>
      </c>
      <c r="H133" s="336">
        <f t="shared" ca="1" si="27"/>
        <v>10945832.4575</v>
      </c>
      <c r="I133" s="337">
        <f t="shared" ca="1" si="23"/>
        <v>-10945832</v>
      </c>
    </row>
    <row r="134" spans="1:9">
      <c r="A134" s="335">
        <f t="shared" si="24"/>
        <v>117</v>
      </c>
      <c r="B134" s="340">
        <f t="shared" si="28"/>
        <v>49827</v>
      </c>
      <c r="C134" s="336">
        <f t="shared" ca="1" si="25"/>
        <v>10945832.4575</v>
      </c>
      <c r="D134" s="335"/>
      <c r="E134" s="336">
        <f t="shared" ca="1" si="32"/>
        <v>147998.36363636365</v>
      </c>
      <c r="F134" s="336">
        <f t="shared" ca="1" si="22"/>
        <v>103007.38863636364</v>
      </c>
      <c r="G134" s="343">
        <f t="shared" ca="1" si="26"/>
        <v>44990.974999999999</v>
      </c>
      <c r="H134" s="336">
        <f t="shared" ca="1" si="27"/>
        <v>10842825.0689</v>
      </c>
      <c r="I134" s="337">
        <f t="shared" ca="1" si="23"/>
        <v>-10842825</v>
      </c>
    </row>
    <row r="135" spans="1:9">
      <c r="A135" s="335">
        <f t="shared" si="24"/>
        <v>118</v>
      </c>
      <c r="B135" s="340">
        <f t="shared" si="28"/>
        <v>49857</v>
      </c>
      <c r="C135" s="336">
        <f t="shared" ca="1" si="25"/>
        <v>10842825.0689</v>
      </c>
      <c r="D135" s="335"/>
      <c r="E135" s="336">
        <f t="shared" ca="1" si="32"/>
        <v>147998.36363636365</v>
      </c>
      <c r="F135" s="336">
        <f t="shared" ca="1" si="22"/>
        <v>103436.58563636366</v>
      </c>
      <c r="G135" s="343">
        <f t="shared" ca="1" si="26"/>
        <v>44561.777999999998</v>
      </c>
      <c r="H135" s="336">
        <f t="shared" ca="1" si="27"/>
        <v>10739388.4833</v>
      </c>
      <c r="I135" s="337">
        <f t="shared" ca="1" si="23"/>
        <v>-10739388</v>
      </c>
    </row>
    <row r="136" spans="1:9">
      <c r="A136" s="335">
        <f t="shared" si="24"/>
        <v>119</v>
      </c>
      <c r="B136" s="340">
        <f t="shared" si="28"/>
        <v>49888</v>
      </c>
      <c r="C136" s="336">
        <f t="shared" ca="1" si="25"/>
        <v>10739388.4833</v>
      </c>
      <c r="D136" s="335"/>
      <c r="E136" s="336">
        <f t="shared" ca="1" si="32"/>
        <v>147998.36363636365</v>
      </c>
      <c r="F136" s="336">
        <f t="shared" ca="1" si="22"/>
        <v>103867.57163636365</v>
      </c>
      <c r="G136" s="343">
        <f t="shared" ca="1" si="26"/>
        <v>44130.792000000001</v>
      </c>
      <c r="H136" s="336">
        <f t="shared" ca="1" si="27"/>
        <v>10635520.911699999</v>
      </c>
      <c r="I136" s="337">
        <f t="shared" ca="1" si="23"/>
        <v>-10635521</v>
      </c>
    </row>
    <row r="137" spans="1:9">
      <c r="A137" s="335">
        <f t="shared" si="24"/>
        <v>120</v>
      </c>
      <c r="B137" s="340">
        <f t="shared" si="28"/>
        <v>49919</v>
      </c>
      <c r="C137" s="336">
        <f t="shared" ca="1" si="25"/>
        <v>10635520.911699999</v>
      </c>
      <c r="D137" s="336">
        <f ca="1">IF(H137&lt;0,0,(K27-L27)/11)</f>
        <v>151068.54545454544</v>
      </c>
      <c r="E137" s="336">
        <f t="shared" ca="1" si="32"/>
        <v>147998.36363636365</v>
      </c>
      <c r="F137" s="336">
        <f t="shared" ca="1" si="22"/>
        <v>104300.35263636365</v>
      </c>
      <c r="G137" s="343">
        <f t="shared" ca="1" si="26"/>
        <v>43698.010999999999</v>
      </c>
      <c r="H137" s="336">
        <f t="shared" ca="1" si="27"/>
        <v>10531220.5591</v>
      </c>
      <c r="I137" s="337">
        <f t="shared" ca="1" si="23"/>
        <v>-10380152</v>
      </c>
    </row>
    <row r="138" spans="1:9">
      <c r="A138" s="335">
        <f t="shared" si="24"/>
        <v>121</v>
      </c>
      <c r="B138" s="340">
        <f t="shared" si="28"/>
        <v>49949</v>
      </c>
      <c r="C138" s="336">
        <f t="shared" ca="1" si="25"/>
        <v>10531220.5591</v>
      </c>
      <c r="D138" s="336"/>
      <c r="E138" s="336">
        <f t="shared" ref="E138:E149" si="33">IF($D$10=1,
 IF(OR(MONTH(B138)=MONTH(EDATE($D$7,0)),MONTH(B138)=MONTH(EDATE($D$7,1)),MONTH(B138)=MONTH(EDATE($D$7,2)),MONTH(B138)=MONTH(EDATE($D$7,3)), MONTH(B138)=MONTH(EDATE($D$7,4)),MONTH(B138)=MONTH(EDATE($D$7,5)),MONTH(B138)=MONTH(EDATE($D$7,6)),MONTH(B138)=MONTH(EDATE($D$7,7)),MONTH(B138)=MONTH(EDATE($D$7,8)),MONTH(B138)=MONTH(EDATE($D$7,9)),MONTH(B138)=MONTH(EDATE($D$7,10))),(MIN($D$137,H137)),0),
IF($D$10=0,
 IF(OR(MONTH(B138)=MONTH(EDATE($D$7,1)),MONTH(B138)=MONTH(EDATE($D$7,2)),MONTH(B138)=MONTH(EDATE($D$7,3)),MONTH(B138)=MONTH(EDATE($D$7,4)), MONTH(B138)=MONTH(EDATE($D$7,5)),MONTH(B138)=MONTH(EDATE($D$7,6)),MONTH(B138)=MONTH(EDATE($D$7,7)),MONTH(B138)=MONTH(EDATE($D$7,8)),MONTH(B138)=MONTH(EDATE($D$7,9)),MONTH(B138)=MONTH(EDATE($D$7,10)),MONTH(B138)=MONTH(EDATE($D$7,11))),(MIN($D$137,H137)),0)))</f>
        <v>0</v>
      </c>
      <c r="F138" s="336">
        <f t="shared" ca="1" si="22"/>
        <v>-43880.086000000003</v>
      </c>
      <c r="G138" s="343">
        <f t="shared" ca="1" si="26"/>
        <v>43880.086000000003</v>
      </c>
      <c r="H138" s="336">
        <f t="shared" ca="1" si="27"/>
        <v>10575100.645099999</v>
      </c>
      <c r="I138" s="337">
        <f t="shared" ca="1" si="23"/>
        <v>-10575101</v>
      </c>
    </row>
    <row r="139" spans="1:9">
      <c r="A139" s="335">
        <f t="shared" si="24"/>
        <v>122</v>
      </c>
      <c r="B139" s="340">
        <f t="shared" si="28"/>
        <v>49980</v>
      </c>
      <c r="C139" s="336">
        <f t="shared" ca="1" si="25"/>
        <v>10575100.645099999</v>
      </c>
      <c r="D139" s="335"/>
      <c r="E139" s="336">
        <f t="shared" ca="1" si="33"/>
        <v>151068.54545454544</v>
      </c>
      <c r="F139" s="336">
        <f t="shared" ca="1" si="22"/>
        <v>107635.07845454544</v>
      </c>
      <c r="G139" s="343">
        <f t="shared" ca="1" si="26"/>
        <v>43433.466999999997</v>
      </c>
      <c r="H139" s="336">
        <f t="shared" ca="1" si="27"/>
        <v>10467465.5666</v>
      </c>
      <c r="I139" s="337">
        <f t="shared" ca="1" si="23"/>
        <v>-10467466</v>
      </c>
    </row>
    <row r="140" spans="1:9">
      <c r="A140" s="335">
        <f t="shared" si="24"/>
        <v>123</v>
      </c>
      <c r="B140" s="340">
        <f t="shared" si="28"/>
        <v>50010</v>
      </c>
      <c r="C140" s="336">
        <f t="shared" ca="1" si="25"/>
        <v>10467465.5666</v>
      </c>
      <c r="D140" s="335"/>
      <c r="E140" s="336">
        <f t="shared" ca="1" si="33"/>
        <v>151068.54545454544</v>
      </c>
      <c r="F140" s="336">
        <f t="shared" ca="1" si="22"/>
        <v>108083.55745454544</v>
      </c>
      <c r="G140" s="343">
        <f t="shared" ca="1" si="26"/>
        <v>42984.987999999998</v>
      </c>
      <c r="H140" s="336">
        <f t="shared" ca="1" si="27"/>
        <v>10359382.009099999</v>
      </c>
      <c r="I140" s="337">
        <f t="shared" ca="1" si="23"/>
        <v>-10359382</v>
      </c>
    </row>
    <row r="141" spans="1:9">
      <c r="A141" s="335">
        <f t="shared" si="24"/>
        <v>124</v>
      </c>
      <c r="B141" s="340">
        <f t="shared" si="28"/>
        <v>50041</v>
      </c>
      <c r="C141" s="336">
        <f t="shared" ca="1" si="25"/>
        <v>10359382.009099999</v>
      </c>
      <c r="D141" s="335"/>
      <c r="E141" s="336">
        <f t="shared" ca="1" si="33"/>
        <v>151068.54545454544</v>
      </c>
      <c r="F141" s="336">
        <f t="shared" ca="1" si="22"/>
        <v>108533.90645454545</v>
      </c>
      <c r="G141" s="343">
        <f t="shared" ca="1" si="26"/>
        <v>42534.639000000003</v>
      </c>
      <c r="H141" s="336">
        <f t="shared" ca="1" si="27"/>
        <v>10250848.102600001</v>
      </c>
      <c r="I141" s="337">
        <f t="shared" ca="1" si="23"/>
        <v>-10250848</v>
      </c>
    </row>
    <row r="142" spans="1:9">
      <c r="A142" s="335">
        <f t="shared" si="24"/>
        <v>125</v>
      </c>
      <c r="B142" s="340">
        <f t="shared" si="28"/>
        <v>50072</v>
      </c>
      <c r="C142" s="336">
        <f t="shared" ca="1" si="25"/>
        <v>10250848.102600001</v>
      </c>
      <c r="D142" s="335"/>
      <c r="E142" s="336">
        <f t="shared" ca="1" si="33"/>
        <v>151068.54545454544</v>
      </c>
      <c r="F142" s="336">
        <f t="shared" ca="1" si="22"/>
        <v>108986.13045454543</v>
      </c>
      <c r="G142" s="343">
        <f t="shared" ca="1" si="26"/>
        <v>42082.415000000001</v>
      </c>
      <c r="H142" s="336">
        <f t="shared" ca="1" si="27"/>
        <v>10141861.972100001</v>
      </c>
      <c r="I142" s="337">
        <f t="shared" ca="1" si="23"/>
        <v>-10141862</v>
      </c>
    </row>
    <row r="143" spans="1:9">
      <c r="A143" s="335">
        <f t="shared" si="24"/>
        <v>126</v>
      </c>
      <c r="B143" s="340">
        <f t="shared" si="28"/>
        <v>50100</v>
      </c>
      <c r="C143" s="336">
        <f t="shared" ca="1" si="25"/>
        <v>10141861.972100001</v>
      </c>
      <c r="D143" s="335"/>
      <c r="E143" s="336">
        <f t="shared" ca="1" si="33"/>
        <v>151068.54545454544</v>
      </c>
      <c r="F143" s="336">
        <f t="shared" ca="1" si="22"/>
        <v>109440.23945454544</v>
      </c>
      <c r="G143" s="343">
        <f t="shared" ca="1" si="26"/>
        <v>41628.305999999997</v>
      </c>
      <c r="H143" s="336">
        <f t="shared" ca="1" si="27"/>
        <v>10032421.7326</v>
      </c>
      <c r="I143" s="337">
        <f t="shared" ca="1" si="23"/>
        <v>-10032422</v>
      </c>
    </row>
    <row r="144" spans="1:9">
      <c r="A144" s="335">
        <f t="shared" si="24"/>
        <v>127</v>
      </c>
      <c r="B144" s="340">
        <f t="shared" si="28"/>
        <v>50131</v>
      </c>
      <c r="C144" s="336">
        <f t="shared" ca="1" si="25"/>
        <v>10032421.7326</v>
      </c>
      <c r="D144" s="335"/>
      <c r="E144" s="336">
        <f t="shared" ca="1" si="33"/>
        <v>151068.54545454544</v>
      </c>
      <c r="F144" s="336">
        <f t="shared" ca="1" si="22"/>
        <v>109896.24045454545</v>
      </c>
      <c r="G144" s="343">
        <f t="shared" ca="1" si="26"/>
        <v>41172.305</v>
      </c>
      <c r="H144" s="336">
        <f t="shared" ca="1" si="27"/>
        <v>9922525.4921000004</v>
      </c>
      <c r="I144" s="337">
        <f t="shared" ca="1" si="23"/>
        <v>-9922525</v>
      </c>
    </row>
    <row r="145" spans="1:9">
      <c r="A145" s="335">
        <f t="shared" si="24"/>
        <v>128</v>
      </c>
      <c r="B145" s="340">
        <f t="shared" si="28"/>
        <v>50161</v>
      </c>
      <c r="C145" s="336">
        <f t="shared" ca="1" si="25"/>
        <v>9922525.4921000004</v>
      </c>
      <c r="D145" s="335"/>
      <c r="E145" s="336">
        <f t="shared" ca="1" si="33"/>
        <v>151068.54545454544</v>
      </c>
      <c r="F145" s="336">
        <f t="shared" ca="1" si="22"/>
        <v>110354.14145454543</v>
      </c>
      <c r="G145" s="343">
        <f t="shared" ca="1" si="26"/>
        <v>40714.404000000002</v>
      </c>
      <c r="H145" s="336">
        <f t="shared" ca="1" si="27"/>
        <v>9812171.3506000005</v>
      </c>
      <c r="I145" s="337">
        <f t="shared" ca="1" si="23"/>
        <v>-9812171</v>
      </c>
    </row>
    <row r="146" spans="1:9">
      <c r="A146" s="335">
        <f t="shared" si="24"/>
        <v>129</v>
      </c>
      <c r="B146" s="340">
        <f t="shared" si="28"/>
        <v>50192</v>
      </c>
      <c r="C146" s="336">
        <f t="shared" ca="1" si="25"/>
        <v>9812171.3506000005</v>
      </c>
      <c r="D146" s="335"/>
      <c r="E146" s="336">
        <f t="shared" ca="1" si="33"/>
        <v>151068.54545454544</v>
      </c>
      <c r="F146" s="336">
        <f t="shared" ref="F146:F209" ca="1" si="34">IF(E146="","",E146-G146)</f>
        <v>110813.95045454544</v>
      </c>
      <c r="G146" s="343">
        <f t="shared" ca="1" si="26"/>
        <v>40254.595000000001</v>
      </c>
      <c r="H146" s="336">
        <f t="shared" ca="1" si="27"/>
        <v>9701357.4001000002</v>
      </c>
      <c r="I146" s="337">
        <f t="shared" ref="I146:I209" ca="1" si="35">ROUND((D146-H146),0)</f>
        <v>-9701357</v>
      </c>
    </row>
    <row r="147" spans="1:9">
      <c r="A147" s="335">
        <f t="shared" ref="A147:A210" si="36">IF(A146="","",IF(A146=$D$6,"",A146+1))</f>
        <v>130</v>
      </c>
      <c r="B147" s="340">
        <f t="shared" si="28"/>
        <v>50222</v>
      </c>
      <c r="C147" s="336">
        <f t="shared" ref="C147:C210" ca="1" si="37">IF(H146=0,0,H146)</f>
        <v>9701357.4001000002</v>
      </c>
      <c r="D147" s="335"/>
      <c r="E147" s="336">
        <f t="shared" ca="1" si="33"/>
        <v>151068.54545454544</v>
      </c>
      <c r="F147" s="336">
        <f t="shared" ca="1" si="34"/>
        <v>111275.67545454545</v>
      </c>
      <c r="G147" s="343">
        <f t="shared" ref="G147:G210" ca="1" si="38">ROUND((C147-E147)*$D$5,3)</f>
        <v>39792.870000000003</v>
      </c>
      <c r="H147" s="336">
        <f t="shared" ref="H147:H210" ca="1" si="39">IF(E147="","",ROUND(H146-F147,4))</f>
        <v>9590081.7246000003</v>
      </c>
      <c r="I147" s="337">
        <f t="shared" ca="1" si="35"/>
        <v>-9590082</v>
      </c>
    </row>
    <row r="148" spans="1:9">
      <c r="A148" s="335">
        <f t="shared" si="36"/>
        <v>131</v>
      </c>
      <c r="B148" s="340">
        <f t="shared" ref="B148:B211" si="40">DATE(YEAR(B147),MONTH(B147)+1,1)</f>
        <v>50253</v>
      </c>
      <c r="C148" s="336">
        <f t="shared" ca="1" si="37"/>
        <v>9590081.7246000003</v>
      </c>
      <c r="D148" s="335"/>
      <c r="E148" s="336">
        <f t="shared" ca="1" si="33"/>
        <v>151068.54545454544</v>
      </c>
      <c r="F148" s="336">
        <f t="shared" ca="1" si="34"/>
        <v>111739.32345454543</v>
      </c>
      <c r="G148" s="343">
        <f t="shared" ca="1" si="38"/>
        <v>39329.222000000002</v>
      </c>
      <c r="H148" s="336">
        <f t="shared" ca="1" si="39"/>
        <v>9478342.4011000004</v>
      </c>
      <c r="I148" s="337">
        <f t="shared" ca="1" si="35"/>
        <v>-9478342</v>
      </c>
    </row>
    <row r="149" spans="1:9">
      <c r="A149" s="335">
        <f t="shared" si="36"/>
        <v>132</v>
      </c>
      <c r="B149" s="340">
        <f t="shared" si="40"/>
        <v>50284</v>
      </c>
      <c r="C149" s="336">
        <f t="shared" ca="1" si="37"/>
        <v>9478342.4011000004</v>
      </c>
      <c r="D149" s="336">
        <f ca="1">IF(H149&lt;0,0,(K28-L28)/11)</f>
        <v>154219.27272727274</v>
      </c>
      <c r="E149" s="336">
        <f t="shared" ca="1" si="33"/>
        <v>151068.54545454544</v>
      </c>
      <c r="F149" s="336">
        <f t="shared" ca="1" si="34"/>
        <v>112204.90445454544</v>
      </c>
      <c r="G149" s="343">
        <f t="shared" ca="1" si="38"/>
        <v>38863.641000000003</v>
      </c>
      <c r="H149" s="336">
        <f t="shared" ca="1" si="39"/>
        <v>9366137.4966000002</v>
      </c>
      <c r="I149" s="337">
        <f t="shared" ca="1" si="35"/>
        <v>-9211918</v>
      </c>
    </row>
    <row r="150" spans="1:9">
      <c r="A150" s="335">
        <f t="shared" si="36"/>
        <v>133</v>
      </c>
      <c r="B150" s="340">
        <f t="shared" si="40"/>
        <v>50314</v>
      </c>
      <c r="C150" s="336">
        <f t="shared" ca="1" si="37"/>
        <v>9366137.4966000002</v>
      </c>
      <c r="D150" s="336"/>
      <c r="E150" s="336">
        <f t="shared" ref="E150:E161" si="41">IF($D$10=1,
 IF(OR(MONTH(B150)=MONTH(EDATE($D$7,0)),MONTH(B150)=MONTH(EDATE($D$7,1)),MONTH(B150)=MONTH(EDATE($D$7,2)),MONTH(B150)=MONTH(EDATE($D$7,3)), MONTH(B150)=MONTH(EDATE($D$7,4)),MONTH(B150)=MONTH(EDATE($D$7,5)),MONTH(B150)=MONTH(EDATE($D$7,6)),MONTH(B150)=MONTH(EDATE($D$7,7)),MONTH(B150)=MONTH(EDATE($D$7,8)),MONTH(B150)=MONTH(EDATE($D$7,9)),MONTH(B150)=MONTH(EDATE($D$7,10))),(MIN($D$149,H149)),0),
IF($D$10=0,
 IF(OR(MONTH(B150)=MONTH(EDATE($D$7,1)),MONTH(B150)=MONTH(EDATE($D$7,2)),MONTH(B150)=MONTH(EDATE($D$7,3)),MONTH(B150)=MONTH(EDATE($D$7,4)), MONTH(B150)=MONTH(EDATE($D$7,5)),MONTH(B150)=MONTH(EDATE($D$7,6)),MONTH(B150)=MONTH(EDATE($D$7,7)),MONTH(B150)=MONTH(EDATE($D$7,8)),MONTH(B150)=MONTH(EDATE($D$7,9)),MONTH(B150)=MONTH(EDATE($D$7,10)),MONTH(B150)=MONTH(EDATE($D$7,11))),(MIN($D$149,H149)),0)))</f>
        <v>0</v>
      </c>
      <c r="F150" s="336">
        <f t="shared" ca="1" si="34"/>
        <v>-39025.572999999997</v>
      </c>
      <c r="G150" s="343">
        <f t="shared" ca="1" si="38"/>
        <v>39025.572999999997</v>
      </c>
      <c r="H150" s="336">
        <f t="shared" ca="1" si="39"/>
        <v>9405163.0695999991</v>
      </c>
      <c r="I150" s="337">
        <f t="shared" ca="1" si="35"/>
        <v>-9405163</v>
      </c>
    </row>
    <row r="151" spans="1:9">
      <c r="A151" s="335">
        <f t="shared" si="36"/>
        <v>134</v>
      </c>
      <c r="B151" s="340">
        <f t="shared" si="40"/>
        <v>50345</v>
      </c>
      <c r="C151" s="336">
        <f t="shared" ca="1" si="37"/>
        <v>9405163.0695999991</v>
      </c>
      <c r="D151" s="335"/>
      <c r="E151" s="336">
        <f t="shared" ca="1" si="41"/>
        <v>154219.27272727274</v>
      </c>
      <c r="F151" s="336">
        <f t="shared" ca="1" si="34"/>
        <v>115673.67372727273</v>
      </c>
      <c r="G151" s="343">
        <f t="shared" ca="1" si="38"/>
        <v>38545.599000000002</v>
      </c>
      <c r="H151" s="336">
        <f t="shared" ca="1" si="39"/>
        <v>9289489.3958999999</v>
      </c>
      <c r="I151" s="337">
        <f t="shared" ca="1" si="35"/>
        <v>-9289489</v>
      </c>
    </row>
    <row r="152" spans="1:9">
      <c r="A152" s="335">
        <f t="shared" si="36"/>
        <v>135</v>
      </c>
      <c r="B152" s="340">
        <f t="shared" si="40"/>
        <v>50375</v>
      </c>
      <c r="C152" s="336">
        <f t="shared" ca="1" si="37"/>
        <v>9289489.3958999999</v>
      </c>
      <c r="D152" s="335"/>
      <c r="E152" s="336">
        <f t="shared" ca="1" si="41"/>
        <v>154219.27272727274</v>
      </c>
      <c r="F152" s="336">
        <f t="shared" ca="1" si="34"/>
        <v>116155.64672727275</v>
      </c>
      <c r="G152" s="343">
        <f t="shared" ca="1" si="38"/>
        <v>38063.625999999997</v>
      </c>
      <c r="H152" s="336">
        <f t="shared" ca="1" si="39"/>
        <v>9173333.7491999995</v>
      </c>
      <c r="I152" s="337">
        <f t="shared" ca="1" si="35"/>
        <v>-9173334</v>
      </c>
    </row>
    <row r="153" spans="1:9">
      <c r="A153" s="335">
        <f t="shared" si="36"/>
        <v>136</v>
      </c>
      <c r="B153" s="340">
        <f t="shared" si="40"/>
        <v>50406</v>
      </c>
      <c r="C153" s="336">
        <f t="shared" ca="1" si="37"/>
        <v>9173333.7491999995</v>
      </c>
      <c r="D153" s="335"/>
      <c r="E153" s="336">
        <f t="shared" ca="1" si="41"/>
        <v>154219.27272727274</v>
      </c>
      <c r="F153" s="336">
        <f t="shared" ca="1" si="34"/>
        <v>116639.62872727273</v>
      </c>
      <c r="G153" s="343">
        <f t="shared" ca="1" si="38"/>
        <v>37579.644</v>
      </c>
      <c r="H153" s="336">
        <f t="shared" ca="1" si="39"/>
        <v>9056694.1205000002</v>
      </c>
      <c r="I153" s="337">
        <f t="shared" ca="1" si="35"/>
        <v>-9056694</v>
      </c>
    </row>
    <row r="154" spans="1:9">
      <c r="A154" s="335">
        <f t="shared" si="36"/>
        <v>137</v>
      </c>
      <c r="B154" s="340">
        <f t="shared" si="40"/>
        <v>50437</v>
      </c>
      <c r="C154" s="336">
        <f t="shared" ca="1" si="37"/>
        <v>9056694.1205000002</v>
      </c>
      <c r="D154" s="335"/>
      <c r="E154" s="336">
        <f t="shared" ca="1" si="41"/>
        <v>154219.27272727274</v>
      </c>
      <c r="F154" s="336">
        <f t="shared" ca="1" si="34"/>
        <v>117125.62772727275</v>
      </c>
      <c r="G154" s="343">
        <f t="shared" ca="1" si="38"/>
        <v>37093.644999999997</v>
      </c>
      <c r="H154" s="336">
        <f t="shared" ca="1" si="39"/>
        <v>8939568.4927999992</v>
      </c>
      <c r="I154" s="337">
        <f t="shared" ca="1" si="35"/>
        <v>-8939568</v>
      </c>
    </row>
    <row r="155" spans="1:9">
      <c r="A155" s="335">
        <f t="shared" si="36"/>
        <v>138</v>
      </c>
      <c r="B155" s="340">
        <f t="shared" si="40"/>
        <v>50465</v>
      </c>
      <c r="C155" s="336">
        <f t="shared" ca="1" si="37"/>
        <v>8939568.4927999992</v>
      </c>
      <c r="D155" s="335"/>
      <c r="E155" s="336">
        <f t="shared" ca="1" si="41"/>
        <v>154219.27272727274</v>
      </c>
      <c r="F155" s="336">
        <f t="shared" ca="1" si="34"/>
        <v>117613.65072727273</v>
      </c>
      <c r="G155" s="343">
        <f t="shared" ca="1" si="38"/>
        <v>36605.622000000003</v>
      </c>
      <c r="H155" s="336">
        <f t="shared" ca="1" si="39"/>
        <v>8821954.8421</v>
      </c>
      <c r="I155" s="337">
        <f t="shared" ca="1" si="35"/>
        <v>-8821955</v>
      </c>
    </row>
    <row r="156" spans="1:9">
      <c r="A156" s="335">
        <f t="shared" si="36"/>
        <v>139</v>
      </c>
      <c r="B156" s="340">
        <f t="shared" si="40"/>
        <v>50496</v>
      </c>
      <c r="C156" s="336">
        <f t="shared" ca="1" si="37"/>
        <v>8821954.8421</v>
      </c>
      <c r="D156" s="335"/>
      <c r="E156" s="336">
        <f t="shared" ca="1" si="41"/>
        <v>154219.27272727274</v>
      </c>
      <c r="F156" s="336">
        <f t="shared" ca="1" si="34"/>
        <v>118103.70772727273</v>
      </c>
      <c r="G156" s="343">
        <f t="shared" ca="1" si="38"/>
        <v>36115.565000000002</v>
      </c>
      <c r="H156" s="336">
        <f t="shared" ca="1" si="39"/>
        <v>8703851.1344000008</v>
      </c>
      <c r="I156" s="337">
        <f t="shared" ca="1" si="35"/>
        <v>-8703851</v>
      </c>
    </row>
    <row r="157" spans="1:9">
      <c r="A157" s="335">
        <f t="shared" si="36"/>
        <v>140</v>
      </c>
      <c r="B157" s="340">
        <f t="shared" si="40"/>
        <v>50526</v>
      </c>
      <c r="C157" s="336">
        <f t="shared" ca="1" si="37"/>
        <v>8703851.1344000008</v>
      </c>
      <c r="D157" s="335"/>
      <c r="E157" s="336">
        <f t="shared" ca="1" si="41"/>
        <v>154219.27272727274</v>
      </c>
      <c r="F157" s="336">
        <f t="shared" ca="1" si="34"/>
        <v>118595.80672727273</v>
      </c>
      <c r="G157" s="343">
        <f t="shared" ca="1" si="38"/>
        <v>35623.466</v>
      </c>
      <c r="H157" s="336">
        <f t="shared" ca="1" si="39"/>
        <v>8585255.3277000003</v>
      </c>
      <c r="I157" s="337">
        <f t="shared" ca="1" si="35"/>
        <v>-8585255</v>
      </c>
    </row>
    <row r="158" spans="1:9">
      <c r="A158" s="335">
        <f t="shared" si="36"/>
        <v>141</v>
      </c>
      <c r="B158" s="340">
        <f t="shared" si="40"/>
        <v>50557</v>
      </c>
      <c r="C158" s="336">
        <f t="shared" ca="1" si="37"/>
        <v>8585255.3277000003</v>
      </c>
      <c r="D158" s="335"/>
      <c r="E158" s="336">
        <f t="shared" ca="1" si="41"/>
        <v>154219.27272727274</v>
      </c>
      <c r="F158" s="336">
        <f t="shared" ca="1" si="34"/>
        <v>119089.95572727273</v>
      </c>
      <c r="G158" s="343">
        <f t="shared" ca="1" si="38"/>
        <v>35129.317000000003</v>
      </c>
      <c r="H158" s="336">
        <f t="shared" ca="1" si="39"/>
        <v>8466165.3719999995</v>
      </c>
      <c r="I158" s="337">
        <f t="shared" ca="1" si="35"/>
        <v>-8466165</v>
      </c>
    </row>
    <row r="159" spans="1:9">
      <c r="A159" s="335">
        <f t="shared" si="36"/>
        <v>142</v>
      </c>
      <c r="B159" s="340">
        <f t="shared" si="40"/>
        <v>50587</v>
      </c>
      <c r="C159" s="336">
        <f t="shared" ca="1" si="37"/>
        <v>8466165.3719999995</v>
      </c>
      <c r="D159" s="335"/>
      <c r="E159" s="336">
        <f t="shared" ca="1" si="41"/>
        <v>154219.27272727274</v>
      </c>
      <c r="F159" s="336">
        <f t="shared" ca="1" si="34"/>
        <v>119586.16372727274</v>
      </c>
      <c r="G159" s="343">
        <f t="shared" ca="1" si="38"/>
        <v>34633.108999999997</v>
      </c>
      <c r="H159" s="336">
        <f t="shared" ca="1" si="39"/>
        <v>8346579.2083000001</v>
      </c>
      <c r="I159" s="337">
        <f t="shared" ca="1" si="35"/>
        <v>-8346579</v>
      </c>
    </row>
    <row r="160" spans="1:9">
      <c r="A160" s="335">
        <f t="shared" si="36"/>
        <v>143</v>
      </c>
      <c r="B160" s="340">
        <f t="shared" si="40"/>
        <v>50618</v>
      </c>
      <c r="C160" s="336">
        <f t="shared" ca="1" si="37"/>
        <v>8346579.2083000001</v>
      </c>
      <c r="D160" s="335"/>
      <c r="E160" s="336">
        <f t="shared" ca="1" si="41"/>
        <v>154219.27272727274</v>
      </c>
      <c r="F160" s="336">
        <f t="shared" ca="1" si="34"/>
        <v>120084.43972727274</v>
      </c>
      <c r="G160" s="343">
        <f t="shared" ca="1" si="38"/>
        <v>34134.832999999999</v>
      </c>
      <c r="H160" s="336">
        <f t="shared" ca="1" si="39"/>
        <v>8226494.7686000001</v>
      </c>
      <c r="I160" s="337">
        <f t="shared" ca="1" si="35"/>
        <v>-8226495</v>
      </c>
    </row>
    <row r="161" spans="1:9">
      <c r="A161" s="335">
        <f t="shared" si="36"/>
        <v>144</v>
      </c>
      <c r="B161" s="340">
        <f t="shared" si="40"/>
        <v>50649</v>
      </c>
      <c r="C161" s="336">
        <f t="shared" ca="1" si="37"/>
        <v>8226494.7686000001</v>
      </c>
      <c r="D161" s="336">
        <f ca="1">IF(H161&lt;0,0,(K29-L29)/11)</f>
        <v>157453.18181818182</v>
      </c>
      <c r="E161" s="336">
        <f t="shared" ca="1" si="41"/>
        <v>154219.27272727274</v>
      </c>
      <c r="F161" s="336">
        <f t="shared" ca="1" si="34"/>
        <v>120584.79172727274</v>
      </c>
      <c r="G161" s="343">
        <f t="shared" ca="1" si="38"/>
        <v>33634.481</v>
      </c>
      <c r="H161" s="336">
        <f t="shared" ca="1" si="39"/>
        <v>8105909.9769000001</v>
      </c>
      <c r="I161" s="337">
        <f t="shared" ca="1" si="35"/>
        <v>-7948457</v>
      </c>
    </row>
    <row r="162" spans="1:9">
      <c r="A162" s="335">
        <f t="shared" si="36"/>
        <v>145</v>
      </c>
      <c r="B162" s="340">
        <f t="shared" si="40"/>
        <v>50679</v>
      </c>
      <c r="C162" s="336">
        <f t="shared" ca="1" si="37"/>
        <v>8105909.9769000001</v>
      </c>
      <c r="D162" s="336"/>
      <c r="E162" s="336">
        <f t="shared" ref="E162:E173" si="42">IF($D$10=1,
 IF(OR(MONTH(B162)=MONTH(EDATE($D$7,0)),MONTH(B162)=MONTH(EDATE($D$7,1)),MONTH(B162)=MONTH(EDATE($D$7,2)),MONTH(B162)=MONTH(EDATE($D$7,3)), MONTH(B162)=MONTH(EDATE($D$7,4)),MONTH(B162)=MONTH(EDATE($D$7,5)),MONTH(B162)=MONTH(EDATE($D$7,6)),MONTH(B162)=MONTH(EDATE($D$7,7)),MONTH(B162)=MONTH(EDATE($D$7,8)),MONTH(B162)=MONTH(EDATE($D$7,9)),MONTH(B162)=MONTH(EDATE($D$7,10))),(MIN( $D$161,H161)),0),
IF($D$10=0,
 IF(OR(MONTH(B162)=MONTH(EDATE($D$7,1)),MONTH(B162)=MONTH(EDATE($D$7,2)),MONTH(B162)=MONTH(EDATE($D$7,3)),MONTH(B162)=MONTH(EDATE($D$7,4)), MONTH(B162)=MONTH(EDATE($D$7,5)),MONTH(B162)=MONTH(EDATE($D$7,6)),MONTH(B162)=MONTH(EDATE($D$7,7)),MONTH(B162)=MONTH(EDATE($D$7,8)),MONTH(B162)=MONTH(EDATE($D$7,9)),MONTH(B162)=MONTH(EDATE($D$7,10)),MONTH(B162)=MONTH(EDATE($D$7,11))),(MIN( $D$161,H161)),0)))</f>
        <v>0</v>
      </c>
      <c r="F162" s="336">
        <f t="shared" ca="1" si="34"/>
        <v>-33774.625</v>
      </c>
      <c r="G162" s="343">
        <f t="shared" ca="1" si="38"/>
        <v>33774.625</v>
      </c>
      <c r="H162" s="336">
        <f t="shared" ca="1" si="39"/>
        <v>8139684.6019000001</v>
      </c>
      <c r="I162" s="337">
        <f t="shared" ca="1" si="35"/>
        <v>-8139685</v>
      </c>
    </row>
    <row r="163" spans="1:9">
      <c r="A163" s="335">
        <f t="shared" si="36"/>
        <v>146</v>
      </c>
      <c r="B163" s="340">
        <f t="shared" si="40"/>
        <v>50710</v>
      </c>
      <c r="C163" s="336">
        <f t="shared" ca="1" si="37"/>
        <v>8139684.6019000001</v>
      </c>
      <c r="D163" s="336"/>
      <c r="E163" s="336">
        <f t="shared" ca="1" si="42"/>
        <v>157453.18181818182</v>
      </c>
      <c r="F163" s="336">
        <f t="shared" ca="1" si="34"/>
        <v>124193.88381818181</v>
      </c>
      <c r="G163" s="343">
        <f t="shared" ca="1" si="38"/>
        <v>33259.298000000003</v>
      </c>
      <c r="H163" s="336">
        <f t="shared" ca="1" si="39"/>
        <v>8015490.7181000002</v>
      </c>
      <c r="I163" s="337">
        <f t="shared" ca="1" si="35"/>
        <v>-8015491</v>
      </c>
    </row>
    <row r="164" spans="1:9">
      <c r="A164" s="335">
        <f t="shared" si="36"/>
        <v>147</v>
      </c>
      <c r="B164" s="340">
        <f t="shared" si="40"/>
        <v>50740</v>
      </c>
      <c r="C164" s="336">
        <f t="shared" ca="1" si="37"/>
        <v>8015490.7181000002</v>
      </c>
      <c r="D164" s="335"/>
      <c r="E164" s="336">
        <f t="shared" ca="1" si="42"/>
        <v>157453.18181818182</v>
      </c>
      <c r="F164" s="336">
        <f t="shared" ca="1" si="34"/>
        <v>124711.35881818182</v>
      </c>
      <c r="G164" s="343">
        <f t="shared" ca="1" si="38"/>
        <v>32741.823</v>
      </c>
      <c r="H164" s="336">
        <f t="shared" ca="1" si="39"/>
        <v>7890779.3592999997</v>
      </c>
      <c r="I164" s="337">
        <f t="shared" ca="1" si="35"/>
        <v>-7890779</v>
      </c>
    </row>
    <row r="165" spans="1:9">
      <c r="A165" s="335">
        <f t="shared" si="36"/>
        <v>148</v>
      </c>
      <c r="B165" s="340">
        <f t="shared" si="40"/>
        <v>50771</v>
      </c>
      <c r="C165" s="336">
        <f t="shared" ca="1" si="37"/>
        <v>7890779.3592999997</v>
      </c>
      <c r="D165" s="335"/>
      <c r="E165" s="336">
        <f t="shared" ca="1" si="42"/>
        <v>157453.18181818182</v>
      </c>
      <c r="F165" s="336">
        <f t="shared" ca="1" si="34"/>
        <v>125230.98981818183</v>
      </c>
      <c r="G165" s="343">
        <f t="shared" ca="1" si="38"/>
        <v>32222.191999999999</v>
      </c>
      <c r="H165" s="336">
        <f t="shared" ca="1" si="39"/>
        <v>7765548.3695</v>
      </c>
      <c r="I165" s="337">
        <f t="shared" ca="1" si="35"/>
        <v>-7765548</v>
      </c>
    </row>
    <row r="166" spans="1:9">
      <c r="A166" s="335">
        <f t="shared" si="36"/>
        <v>149</v>
      </c>
      <c r="B166" s="340">
        <f t="shared" si="40"/>
        <v>50802</v>
      </c>
      <c r="C166" s="336">
        <f t="shared" ca="1" si="37"/>
        <v>7765548.3695</v>
      </c>
      <c r="D166" s="335"/>
      <c r="E166" s="336">
        <f t="shared" ca="1" si="42"/>
        <v>157453.18181818182</v>
      </c>
      <c r="F166" s="336">
        <f t="shared" ca="1" si="34"/>
        <v>125752.78481818183</v>
      </c>
      <c r="G166" s="343">
        <f t="shared" ca="1" si="38"/>
        <v>31700.397000000001</v>
      </c>
      <c r="H166" s="336">
        <f t="shared" ca="1" si="39"/>
        <v>7639795.5846999995</v>
      </c>
      <c r="I166" s="337">
        <f t="shared" ca="1" si="35"/>
        <v>-7639796</v>
      </c>
    </row>
    <row r="167" spans="1:9">
      <c r="A167" s="335">
        <f t="shared" si="36"/>
        <v>150</v>
      </c>
      <c r="B167" s="340">
        <f t="shared" si="40"/>
        <v>50830</v>
      </c>
      <c r="C167" s="336">
        <f t="shared" ca="1" si="37"/>
        <v>7639795.5846999995</v>
      </c>
      <c r="D167" s="335"/>
      <c r="E167" s="336">
        <f t="shared" ca="1" si="42"/>
        <v>157453.18181818182</v>
      </c>
      <c r="F167" s="336">
        <f t="shared" ca="1" si="34"/>
        <v>126276.75481818183</v>
      </c>
      <c r="G167" s="343">
        <f t="shared" ca="1" si="38"/>
        <v>31176.427</v>
      </c>
      <c r="H167" s="336">
        <f t="shared" ca="1" si="39"/>
        <v>7513518.8299000002</v>
      </c>
      <c r="I167" s="337">
        <f t="shared" ca="1" si="35"/>
        <v>-7513519</v>
      </c>
    </row>
    <row r="168" spans="1:9">
      <c r="A168" s="335">
        <f t="shared" si="36"/>
        <v>151</v>
      </c>
      <c r="B168" s="340">
        <f t="shared" si="40"/>
        <v>50861</v>
      </c>
      <c r="C168" s="336">
        <f t="shared" ca="1" si="37"/>
        <v>7513518.8299000002</v>
      </c>
      <c r="D168" s="335"/>
      <c r="E168" s="336">
        <f t="shared" ca="1" si="42"/>
        <v>157453.18181818182</v>
      </c>
      <c r="F168" s="336">
        <f t="shared" ca="1" si="34"/>
        <v>126802.90781818182</v>
      </c>
      <c r="G168" s="343">
        <f t="shared" ca="1" si="38"/>
        <v>30650.274000000001</v>
      </c>
      <c r="H168" s="336">
        <f t="shared" ca="1" si="39"/>
        <v>7386715.9221000001</v>
      </c>
      <c r="I168" s="337">
        <f t="shared" ca="1" si="35"/>
        <v>-7386716</v>
      </c>
    </row>
    <row r="169" spans="1:9">
      <c r="A169" s="335">
        <f t="shared" si="36"/>
        <v>152</v>
      </c>
      <c r="B169" s="340">
        <f t="shared" si="40"/>
        <v>50891</v>
      </c>
      <c r="C169" s="336">
        <f t="shared" ca="1" si="37"/>
        <v>7386715.9221000001</v>
      </c>
      <c r="D169" s="335"/>
      <c r="E169" s="336">
        <f t="shared" ca="1" si="42"/>
        <v>157453.18181818182</v>
      </c>
      <c r="F169" s="336">
        <f t="shared" ca="1" si="34"/>
        <v>127331.25381818182</v>
      </c>
      <c r="G169" s="343">
        <f t="shared" ca="1" si="38"/>
        <v>30121.928</v>
      </c>
      <c r="H169" s="336">
        <f t="shared" ca="1" si="39"/>
        <v>7259384.6683</v>
      </c>
      <c r="I169" s="337">
        <f t="shared" ca="1" si="35"/>
        <v>-7259385</v>
      </c>
    </row>
    <row r="170" spans="1:9">
      <c r="A170" s="335">
        <f t="shared" si="36"/>
        <v>153</v>
      </c>
      <c r="B170" s="340">
        <f t="shared" si="40"/>
        <v>50922</v>
      </c>
      <c r="C170" s="336">
        <f t="shared" ca="1" si="37"/>
        <v>7259384.6683</v>
      </c>
      <c r="D170" s="335"/>
      <c r="E170" s="336">
        <f t="shared" ca="1" si="42"/>
        <v>157453.18181818182</v>
      </c>
      <c r="F170" s="336">
        <f t="shared" ca="1" si="34"/>
        <v>127861.80081818183</v>
      </c>
      <c r="G170" s="343">
        <f t="shared" ca="1" si="38"/>
        <v>29591.381000000001</v>
      </c>
      <c r="H170" s="336">
        <f t="shared" ca="1" si="39"/>
        <v>7131522.8674999997</v>
      </c>
      <c r="I170" s="337">
        <f t="shared" ca="1" si="35"/>
        <v>-7131523</v>
      </c>
    </row>
    <row r="171" spans="1:9">
      <c r="A171" s="335">
        <f t="shared" si="36"/>
        <v>154</v>
      </c>
      <c r="B171" s="340">
        <f t="shared" si="40"/>
        <v>50952</v>
      </c>
      <c r="C171" s="336">
        <f t="shared" ca="1" si="37"/>
        <v>7131522.8674999997</v>
      </c>
      <c r="D171" s="335"/>
      <c r="E171" s="336">
        <f t="shared" ca="1" si="42"/>
        <v>157453.18181818182</v>
      </c>
      <c r="F171" s="336">
        <f t="shared" ca="1" si="34"/>
        <v>128394.55781818183</v>
      </c>
      <c r="G171" s="343">
        <f t="shared" ca="1" si="38"/>
        <v>29058.624</v>
      </c>
      <c r="H171" s="336">
        <f t="shared" ca="1" si="39"/>
        <v>7003128.3097000001</v>
      </c>
      <c r="I171" s="337">
        <f t="shared" ca="1" si="35"/>
        <v>-7003128</v>
      </c>
    </row>
    <row r="172" spans="1:9">
      <c r="A172" s="335">
        <f t="shared" si="36"/>
        <v>155</v>
      </c>
      <c r="B172" s="340">
        <f t="shared" si="40"/>
        <v>50983</v>
      </c>
      <c r="C172" s="336">
        <f t="shared" ca="1" si="37"/>
        <v>7003128.3097000001</v>
      </c>
      <c r="D172" s="335"/>
      <c r="E172" s="336">
        <f t="shared" ca="1" si="42"/>
        <v>157453.18181818182</v>
      </c>
      <c r="F172" s="336">
        <f t="shared" ca="1" si="34"/>
        <v>128929.53581818182</v>
      </c>
      <c r="G172" s="343">
        <f t="shared" ca="1" si="38"/>
        <v>28523.646000000001</v>
      </c>
      <c r="H172" s="336">
        <f t="shared" ca="1" si="39"/>
        <v>6874198.7739000004</v>
      </c>
      <c r="I172" s="337">
        <f t="shared" ca="1" si="35"/>
        <v>-6874199</v>
      </c>
    </row>
    <row r="173" spans="1:9">
      <c r="A173" s="335">
        <f t="shared" si="36"/>
        <v>156</v>
      </c>
      <c r="B173" s="340">
        <f t="shared" si="40"/>
        <v>51014</v>
      </c>
      <c r="C173" s="336">
        <f t="shared" ca="1" si="37"/>
        <v>6874198.7739000004</v>
      </c>
      <c r="D173" s="336">
        <f ca="1">IF(H173&lt;0,0,(K30-L30)/11)</f>
        <v>160772.90909090909</v>
      </c>
      <c r="E173" s="336">
        <f t="shared" ca="1" si="42"/>
        <v>157453.18181818182</v>
      </c>
      <c r="F173" s="336">
        <f t="shared" ca="1" si="34"/>
        <v>129466.74181818182</v>
      </c>
      <c r="G173" s="343">
        <f t="shared" ca="1" si="38"/>
        <v>27986.44</v>
      </c>
      <c r="H173" s="336">
        <f t="shared" ca="1" si="39"/>
        <v>6744732.0321000004</v>
      </c>
      <c r="I173" s="337">
        <f t="shared" ca="1" si="35"/>
        <v>-6583959</v>
      </c>
    </row>
    <row r="174" spans="1:9">
      <c r="A174" s="335">
        <f t="shared" si="36"/>
        <v>157</v>
      </c>
      <c r="B174" s="340">
        <f t="shared" si="40"/>
        <v>51044</v>
      </c>
      <c r="C174" s="336">
        <f t="shared" ca="1" si="37"/>
        <v>6744732.0321000004</v>
      </c>
      <c r="D174" s="336"/>
      <c r="E174" s="336">
        <f t="shared" ref="E174:E185" si="43">IF($D$10=1,
 IF(OR(MONTH(B174)=MONTH(EDATE($D$7,0)),MONTH(B174)=MONTH(EDATE($D$7,1)),MONTH(B174)=MONTH(EDATE($D$7,2)),MONTH(B174)=MONTH(EDATE($D$7,3)), MONTH(B174)=MONTH(EDATE($D$7,4)),MONTH(B174)=MONTH(EDATE($D$7,5)),MONTH(B174)=MONTH(EDATE($D$7,6)),MONTH(B174)=MONTH(EDATE($D$7,7)),MONTH(B174)=MONTH(EDATE($D$7,8)),MONTH(B174)=MONTH(EDATE($D$7,9)),MONTH(B174)=MONTH(EDATE($D$7,10))),(MIN( $D$173,H173)),0),
IF($D$10=0,
 IF(OR(MONTH(B174)=MONTH(EDATE($D$7,1)),MONTH(B174)=MONTH(EDATE($D$7,2)),MONTH(B174)=MONTH(EDATE($D$7,3)),MONTH(B174)=MONTH(EDATE($D$7,4)), MONTH(B174)=MONTH(EDATE($D$7,5)),MONTH(B174)=MONTH(EDATE($D$7,6)),MONTH(B174)=MONTH(EDATE($D$7,7)),MONTH(B174)=MONTH(EDATE($D$7,8)),MONTH(B174)=MONTH(EDATE($D$7,9)),MONTH(B174)=MONTH(EDATE($D$7,10)),MONTH(B174)=MONTH(EDATE($D$7,11))),(MIN( $D$173,H173)),0)))</f>
        <v>0</v>
      </c>
      <c r="F174" s="336">
        <f t="shared" ca="1" si="34"/>
        <v>-28103.05</v>
      </c>
      <c r="G174" s="343">
        <f t="shared" ca="1" si="38"/>
        <v>28103.05</v>
      </c>
      <c r="H174" s="336">
        <f t="shared" ca="1" si="39"/>
        <v>6772835.0821000002</v>
      </c>
      <c r="I174" s="337">
        <f t="shared" ca="1" si="35"/>
        <v>-6772835</v>
      </c>
    </row>
    <row r="175" spans="1:9">
      <c r="A175" s="335">
        <f t="shared" si="36"/>
        <v>158</v>
      </c>
      <c r="B175" s="340">
        <f t="shared" si="40"/>
        <v>51075</v>
      </c>
      <c r="C175" s="336">
        <f t="shared" ca="1" si="37"/>
        <v>6772835.0821000002</v>
      </c>
      <c r="D175" s="335"/>
      <c r="E175" s="336">
        <f t="shared" ca="1" si="43"/>
        <v>160772.90909090909</v>
      </c>
      <c r="F175" s="336">
        <f t="shared" ca="1" si="34"/>
        <v>133222.6500909091</v>
      </c>
      <c r="G175" s="343">
        <f t="shared" ca="1" si="38"/>
        <v>27550.258999999998</v>
      </c>
      <c r="H175" s="336">
        <f t="shared" ca="1" si="39"/>
        <v>6639612.432</v>
      </c>
      <c r="I175" s="337">
        <f t="shared" ca="1" si="35"/>
        <v>-6639612</v>
      </c>
    </row>
    <row r="176" spans="1:9">
      <c r="A176" s="335">
        <f t="shared" si="36"/>
        <v>159</v>
      </c>
      <c r="B176" s="340">
        <f t="shared" si="40"/>
        <v>51105</v>
      </c>
      <c r="C176" s="336">
        <f t="shared" ca="1" si="37"/>
        <v>6639612.432</v>
      </c>
      <c r="D176" s="335"/>
      <c r="E176" s="336">
        <f t="shared" ca="1" si="43"/>
        <v>160772.90909090909</v>
      </c>
      <c r="F176" s="336">
        <f t="shared" ca="1" si="34"/>
        <v>133777.74409090908</v>
      </c>
      <c r="G176" s="343">
        <f t="shared" ca="1" si="38"/>
        <v>26995.165000000001</v>
      </c>
      <c r="H176" s="336">
        <f t="shared" ca="1" si="39"/>
        <v>6505834.6879000003</v>
      </c>
      <c r="I176" s="337">
        <f t="shared" ca="1" si="35"/>
        <v>-6505835</v>
      </c>
    </row>
    <row r="177" spans="1:9">
      <c r="A177" s="335">
        <f t="shared" si="36"/>
        <v>160</v>
      </c>
      <c r="B177" s="340">
        <f t="shared" si="40"/>
        <v>51136</v>
      </c>
      <c r="C177" s="336">
        <f t="shared" ca="1" si="37"/>
        <v>6505834.6879000003</v>
      </c>
      <c r="D177" s="335"/>
      <c r="E177" s="336">
        <f t="shared" ca="1" si="43"/>
        <v>160772.90909090909</v>
      </c>
      <c r="F177" s="336">
        <f t="shared" ca="1" si="34"/>
        <v>134335.15209090908</v>
      </c>
      <c r="G177" s="343">
        <f t="shared" ca="1" si="38"/>
        <v>26437.757000000001</v>
      </c>
      <c r="H177" s="336">
        <f t="shared" ca="1" si="39"/>
        <v>6371499.5357999997</v>
      </c>
      <c r="I177" s="337">
        <f t="shared" ca="1" si="35"/>
        <v>-6371500</v>
      </c>
    </row>
    <row r="178" spans="1:9">
      <c r="A178" s="335">
        <f t="shared" si="36"/>
        <v>161</v>
      </c>
      <c r="B178" s="340">
        <f t="shared" si="40"/>
        <v>51167</v>
      </c>
      <c r="C178" s="336">
        <f t="shared" ca="1" si="37"/>
        <v>6371499.5357999997</v>
      </c>
      <c r="D178" s="335"/>
      <c r="E178" s="336">
        <f t="shared" ca="1" si="43"/>
        <v>160772.90909090909</v>
      </c>
      <c r="F178" s="336">
        <f t="shared" ca="1" si="34"/>
        <v>134894.8810909091</v>
      </c>
      <c r="G178" s="343">
        <f t="shared" ca="1" si="38"/>
        <v>25878.027999999998</v>
      </c>
      <c r="H178" s="336">
        <f t="shared" ca="1" si="39"/>
        <v>6236604.6546999998</v>
      </c>
      <c r="I178" s="337">
        <f t="shared" ca="1" si="35"/>
        <v>-6236605</v>
      </c>
    </row>
    <row r="179" spans="1:9">
      <c r="A179" s="335">
        <f t="shared" si="36"/>
        <v>162</v>
      </c>
      <c r="B179" s="340">
        <f t="shared" si="40"/>
        <v>51196</v>
      </c>
      <c r="C179" s="336">
        <f t="shared" ca="1" si="37"/>
        <v>6236604.6546999998</v>
      </c>
      <c r="D179" s="335"/>
      <c r="E179" s="336">
        <f t="shared" ca="1" si="43"/>
        <v>160772.90909090909</v>
      </c>
      <c r="F179" s="336">
        <f t="shared" ca="1" si="34"/>
        <v>135456.9430909091</v>
      </c>
      <c r="G179" s="343">
        <f t="shared" ca="1" si="38"/>
        <v>25315.966</v>
      </c>
      <c r="H179" s="336">
        <f t="shared" ca="1" si="39"/>
        <v>6101147.7116</v>
      </c>
      <c r="I179" s="337">
        <f t="shared" ca="1" si="35"/>
        <v>-6101148</v>
      </c>
    </row>
    <row r="180" spans="1:9">
      <c r="A180" s="335">
        <f t="shared" si="36"/>
        <v>163</v>
      </c>
      <c r="B180" s="340">
        <f t="shared" si="40"/>
        <v>51227</v>
      </c>
      <c r="C180" s="336">
        <f t="shared" ca="1" si="37"/>
        <v>6101147.7116</v>
      </c>
      <c r="D180" s="335"/>
      <c r="E180" s="336">
        <f t="shared" ca="1" si="43"/>
        <v>160772.90909090909</v>
      </c>
      <c r="F180" s="336">
        <f t="shared" ca="1" si="34"/>
        <v>136021.34709090908</v>
      </c>
      <c r="G180" s="343">
        <f t="shared" ca="1" si="38"/>
        <v>24751.562000000002</v>
      </c>
      <c r="H180" s="336">
        <f t="shared" ca="1" si="39"/>
        <v>5965126.3645000001</v>
      </c>
      <c r="I180" s="337">
        <f t="shared" ca="1" si="35"/>
        <v>-5965126</v>
      </c>
    </row>
    <row r="181" spans="1:9">
      <c r="A181" s="335">
        <f t="shared" si="36"/>
        <v>164</v>
      </c>
      <c r="B181" s="340">
        <f t="shared" si="40"/>
        <v>51257</v>
      </c>
      <c r="C181" s="336">
        <f t="shared" ca="1" si="37"/>
        <v>5965126.3645000001</v>
      </c>
      <c r="D181" s="335"/>
      <c r="E181" s="336">
        <f t="shared" ca="1" si="43"/>
        <v>160772.90909090909</v>
      </c>
      <c r="F181" s="336">
        <f t="shared" ca="1" si="34"/>
        <v>136588.10309090908</v>
      </c>
      <c r="G181" s="343">
        <f t="shared" ca="1" si="38"/>
        <v>24184.806</v>
      </c>
      <c r="H181" s="336">
        <f t="shared" ca="1" si="39"/>
        <v>5828538.2614000002</v>
      </c>
      <c r="I181" s="337">
        <f t="shared" ca="1" si="35"/>
        <v>-5828538</v>
      </c>
    </row>
    <row r="182" spans="1:9">
      <c r="A182" s="335">
        <f t="shared" si="36"/>
        <v>165</v>
      </c>
      <c r="B182" s="340">
        <f t="shared" si="40"/>
        <v>51288</v>
      </c>
      <c r="C182" s="336">
        <f t="shared" ca="1" si="37"/>
        <v>5828538.2614000002</v>
      </c>
      <c r="D182" s="335"/>
      <c r="E182" s="336">
        <f t="shared" ca="1" si="43"/>
        <v>160772.90909090909</v>
      </c>
      <c r="F182" s="336">
        <f t="shared" ca="1" si="34"/>
        <v>137157.2200909091</v>
      </c>
      <c r="G182" s="343">
        <f t="shared" ca="1" si="38"/>
        <v>23615.688999999998</v>
      </c>
      <c r="H182" s="336">
        <f t="shared" ca="1" si="39"/>
        <v>5691381.0412999997</v>
      </c>
      <c r="I182" s="337">
        <f t="shared" ca="1" si="35"/>
        <v>-5691381</v>
      </c>
    </row>
    <row r="183" spans="1:9">
      <c r="A183" s="335">
        <f t="shared" si="36"/>
        <v>166</v>
      </c>
      <c r="B183" s="340">
        <f t="shared" si="40"/>
        <v>51318</v>
      </c>
      <c r="C183" s="336">
        <f t="shared" ca="1" si="37"/>
        <v>5691381.0412999997</v>
      </c>
      <c r="D183" s="335"/>
      <c r="E183" s="336">
        <f t="shared" ca="1" si="43"/>
        <v>160772.90909090909</v>
      </c>
      <c r="F183" s="336">
        <f t="shared" ca="1" si="34"/>
        <v>137728.70809090909</v>
      </c>
      <c r="G183" s="343">
        <f t="shared" ca="1" si="38"/>
        <v>23044.201000000001</v>
      </c>
      <c r="H183" s="336">
        <f t="shared" ca="1" si="39"/>
        <v>5553652.3332000002</v>
      </c>
      <c r="I183" s="337">
        <f t="shared" ca="1" si="35"/>
        <v>-5553652</v>
      </c>
    </row>
    <row r="184" spans="1:9">
      <c r="A184" s="335">
        <f t="shared" si="36"/>
        <v>167</v>
      </c>
      <c r="B184" s="340">
        <f t="shared" si="40"/>
        <v>51349</v>
      </c>
      <c r="C184" s="336">
        <f t="shared" ca="1" si="37"/>
        <v>5553652.3332000002</v>
      </c>
      <c r="D184" s="335"/>
      <c r="E184" s="336">
        <f t="shared" ca="1" si="43"/>
        <v>160772.90909090909</v>
      </c>
      <c r="F184" s="336">
        <f t="shared" ca="1" si="34"/>
        <v>138302.57809090908</v>
      </c>
      <c r="G184" s="343">
        <f t="shared" ca="1" si="38"/>
        <v>22470.330999999998</v>
      </c>
      <c r="H184" s="336">
        <f t="shared" ca="1" si="39"/>
        <v>5415349.7550999997</v>
      </c>
      <c r="I184" s="337">
        <f t="shared" ca="1" si="35"/>
        <v>-5415350</v>
      </c>
    </row>
    <row r="185" spans="1:9">
      <c r="A185" s="335">
        <f t="shared" si="36"/>
        <v>168</v>
      </c>
      <c r="B185" s="340">
        <f t="shared" si="40"/>
        <v>51380</v>
      </c>
      <c r="C185" s="336">
        <f t="shared" ca="1" si="37"/>
        <v>5415349.7550999997</v>
      </c>
      <c r="D185" s="336">
        <f ca="1">IF(H185&lt;0,0,(K31-L31)/11)</f>
        <v>164181.18181818182</v>
      </c>
      <c r="E185" s="336">
        <f t="shared" ca="1" si="43"/>
        <v>160772.90909090909</v>
      </c>
      <c r="F185" s="336">
        <f t="shared" ca="1" si="34"/>
        <v>138878.83909090908</v>
      </c>
      <c r="G185" s="343">
        <f t="shared" ca="1" si="38"/>
        <v>21894.07</v>
      </c>
      <c r="H185" s="336">
        <f t="shared" ca="1" si="39"/>
        <v>5276470.9160000002</v>
      </c>
      <c r="I185" s="337">
        <f t="shared" ca="1" si="35"/>
        <v>-5112290</v>
      </c>
    </row>
    <row r="186" spans="1:9">
      <c r="A186" s="335">
        <f t="shared" si="36"/>
        <v>169</v>
      </c>
      <c r="B186" s="340">
        <f t="shared" si="40"/>
        <v>51410</v>
      </c>
      <c r="C186" s="336">
        <f t="shared" ca="1" si="37"/>
        <v>5276470.9160000002</v>
      </c>
      <c r="D186" s="336"/>
      <c r="E186" s="336">
        <f t="shared" ref="E186:E197" si="44">IF($D$10=1,
 IF(OR(MONTH(B186)=MONTH(EDATE($D$7,0)),MONTH(B186)=MONTH(EDATE($D$7,1)),MONTH(B186)=MONTH(EDATE($D$7,2)),MONTH(B186)=MONTH(EDATE($D$7,3)), MONTH(B186)=MONTH(EDATE($D$7,4)),MONTH(B186)=MONTH(EDATE($D$7,5)),MONTH(B186)=MONTH(EDATE($D$7,6)),MONTH(B186)=MONTH(EDATE($D$7,7)),MONTH(B186)=MONTH(EDATE($D$7,8)),MONTH(B186)=MONTH(EDATE($D$7,9)),MONTH(B186)=MONTH(EDATE($D$7,10))),(MIN( $D$185,H185)),0),
IF($D$10=0,
 IF(OR(MONTH(B186)=MONTH(EDATE($D$7,1)),MONTH(B186)=MONTH(EDATE($D$7,2)),MONTH(B186)=MONTH(EDATE($D$7,3)),MONTH(B186)=MONTH(EDATE($D$7,4)), MONTH(B186)=MONTH(EDATE($D$7,5)),MONTH(B186)=MONTH(EDATE($D$7,6)),MONTH(B186)=MONTH(EDATE($D$7,7)),MONTH(B186)=MONTH(EDATE($D$7,8)),MONTH(B186)=MONTH(EDATE($D$7,9)),MONTH(B186)=MONTH(EDATE($D$7,10)),MONTH(B186)=MONTH(EDATE($D$7,11))),(MIN( $D$185,H185)),0)))</f>
        <v>0</v>
      </c>
      <c r="F186" s="336">
        <f t="shared" ca="1" si="34"/>
        <v>-21985.294999999998</v>
      </c>
      <c r="G186" s="343">
        <f t="shared" ca="1" si="38"/>
        <v>21985.294999999998</v>
      </c>
      <c r="H186" s="336">
        <f t="shared" ca="1" si="39"/>
        <v>5298456.2110000001</v>
      </c>
      <c r="I186" s="337">
        <f t="shared" ca="1" si="35"/>
        <v>-5298456</v>
      </c>
    </row>
    <row r="187" spans="1:9">
      <c r="A187" s="335">
        <f t="shared" si="36"/>
        <v>170</v>
      </c>
      <c r="B187" s="340">
        <f t="shared" si="40"/>
        <v>51441</v>
      </c>
      <c r="C187" s="336">
        <f t="shared" ca="1" si="37"/>
        <v>5298456.2110000001</v>
      </c>
      <c r="D187" s="335"/>
      <c r="E187" s="336">
        <f t="shared" ca="1" si="44"/>
        <v>164181.18181818182</v>
      </c>
      <c r="F187" s="336">
        <f t="shared" ca="1" si="34"/>
        <v>142788.36881818183</v>
      </c>
      <c r="G187" s="343">
        <f t="shared" ca="1" si="38"/>
        <v>21392.812999999998</v>
      </c>
      <c r="H187" s="336">
        <f t="shared" ca="1" si="39"/>
        <v>5155667.8421999998</v>
      </c>
      <c r="I187" s="337">
        <f t="shared" ca="1" si="35"/>
        <v>-5155668</v>
      </c>
    </row>
    <row r="188" spans="1:9">
      <c r="A188" s="335">
        <f t="shared" si="36"/>
        <v>171</v>
      </c>
      <c r="B188" s="340">
        <f t="shared" si="40"/>
        <v>51471</v>
      </c>
      <c r="C188" s="336">
        <f t="shared" ca="1" si="37"/>
        <v>5155667.8421999998</v>
      </c>
      <c r="D188" s="335"/>
      <c r="E188" s="336">
        <f t="shared" ca="1" si="44"/>
        <v>164181.18181818182</v>
      </c>
      <c r="F188" s="336">
        <f t="shared" ca="1" si="34"/>
        <v>143383.32081818182</v>
      </c>
      <c r="G188" s="343">
        <f t="shared" ca="1" si="38"/>
        <v>20797.861000000001</v>
      </c>
      <c r="H188" s="336">
        <f t="shared" ca="1" si="39"/>
        <v>5012284.5214</v>
      </c>
      <c r="I188" s="337">
        <f t="shared" ca="1" si="35"/>
        <v>-5012285</v>
      </c>
    </row>
    <row r="189" spans="1:9">
      <c r="A189" s="335">
        <f t="shared" si="36"/>
        <v>172</v>
      </c>
      <c r="B189" s="340">
        <f t="shared" si="40"/>
        <v>51502</v>
      </c>
      <c r="C189" s="336">
        <f t="shared" ca="1" si="37"/>
        <v>5012284.5214</v>
      </c>
      <c r="D189" s="335"/>
      <c r="E189" s="336">
        <f t="shared" ca="1" si="44"/>
        <v>164181.18181818182</v>
      </c>
      <c r="F189" s="336">
        <f t="shared" ca="1" si="34"/>
        <v>143980.75081818181</v>
      </c>
      <c r="G189" s="343">
        <f t="shared" ca="1" si="38"/>
        <v>20200.431</v>
      </c>
      <c r="H189" s="336">
        <f t="shared" ca="1" si="39"/>
        <v>4868303.7706000004</v>
      </c>
      <c r="I189" s="337">
        <f t="shared" ca="1" si="35"/>
        <v>-4868304</v>
      </c>
    </row>
    <row r="190" spans="1:9">
      <c r="A190" s="335">
        <f t="shared" si="36"/>
        <v>173</v>
      </c>
      <c r="B190" s="340">
        <f t="shared" si="40"/>
        <v>51533</v>
      </c>
      <c r="C190" s="336">
        <f t="shared" ca="1" si="37"/>
        <v>4868303.7706000004</v>
      </c>
      <c r="D190" s="335"/>
      <c r="E190" s="336">
        <f t="shared" ca="1" si="44"/>
        <v>164181.18181818182</v>
      </c>
      <c r="F190" s="336">
        <f t="shared" ca="1" si="34"/>
        <v>144580.67081818182</v>
      </c>
      <c r="G190" s="343">
        <f t="shared" ca="1" si="38"/>
        <v>19600.510999999999</v>
      </c>
      <c r="H190" s="336">
        <f t="shared" ca="1" si="39"/>
        <v>4723723.0998</v>
      </c>
      <c r="I190" s="337">
        <f t="shared" ca="1" si="35"/>
        <v>-4723723</v>
      </c>
    </row>
    <row r="191" spans="1:9">
      <c r="A191" s="335">
        <f t="shared" si="36"/>
        <v>174</v>
      </c>
      <c r="B191" s="340">
        <f t="shared" si="40"/>
        <v>51561</v>
      </c>
      <c r="C191" s="336">
        <f t="shared" ca="1" si="37"/>
        <v>4723723.0998</v>
      </c>
      <c r="D191" s="335"/>
      <c r="E191" s="336">
        <f t="shared" ca="1" si="44"/>
        <v>164181.18181818182</v>
      </c>
      <c r="F191" s="336">
        <f t="shared" ca="1" si="34"/>
        <v>145183.09081818181</v>
      </c>
      <c r="G191" s="343">
        <f t="shared" ca="1" si="38"/>
        <v>18998.091</v>
      </c>
      <c r="H191" s="336">
        <f t="shared" ca="1" si="39"/>
        <v>4578540.0089999996</v>
      </c>
      <c r="I191" s="337">
        <f t="shared" ca="1" si="35"/>
        <v>-4578540</v>
      </c>
    </row>
    <row r="192" spans="1:9">
      <c r="A192" s="335">
        <f t="shared" si="36"/>
        <v>175</v>
      </c>
      <c r="B192" s="340">
        <f t="shared" si="40"/>
        <v>51592</v>
      </c>
      <c r="C192" s="336">
        <f t="shared" ca="1" si="37"/>
        <v>4578540.0089999996</v>
      </c>
      <c r="D192" s="335"/>
      <c r="E192" s="336">
        <f t="shared" ca="1" si="44"/>
        <v>164181.18181818182</v>
      </c>
      <c r="F192" s="336">
        <f t="shared" ca="1" si="34"/>
        <v>145788.01981818181</v>
      </c>
      <c r="G192" s="343">
        <f t="shared" ca="1" si="38"/>
        <v>18393.162</v>
      </c>
      <c r="H192" s="336">
        <f t="shared" ca="1" si="39"/>
        <v>4432751.9891999997</v>
      </c>
      <c r="I192" s="337">
        <f t="shared" ca="1" si="35"/>
        <v>-4432752</v>
      </c>
    </row>
    <row r="193" spans="1:9">
      <c r="A193" s="335">
        <f t="shared" si="36"/>
        <v>176</v>
      </c>
      <c r="B193" s="340">
        <f t="shared" si="40"/>
        <v>51622</v>
      </c>
      <c r="C193" s="336">
        <f t="shared" ca="1" si="37"/>
        <v>4432751.9891999997</v>
      </c>
      <c r="D193" s="335"/>
      <c r="E193" s="336">
        <f t="shared" ca="1" si="44"/>
        <v>164181.18181818182</v>
      </c>
      <c r="F193" s="336">
        <f t="shared" ca="1" si="34"/>
        <v>146395.46981818182</v>
      </c>
      <c r="G193" s="343">
        <f t="shared" ca="1" si="38"/>
        <v>17785.712</v>
      </c>
      <c r="H193" s="336">
        <f t="shared" ca="1" si="39"/>
        <v>4286356.5193999996</v>
      </c>
      <c r="I193" s="337">
        <f t="shared" ca="1" si="35"/>
        <v>-4286357</v>
      </c>
    </row>
    <row r="194" spans="1:9">
      <c r="A194" s="335">
        <f t="shared" si="36"/>
        <v>177</v>
      </c>
      <c r="B194" s="340">
        <f t="shared" si="40"/>
        <v>51653</v>
      </c>
      <c r="C194" s="336">
        <f t="shared" ca="1" si="37"/>
        <v>4286356.5193999996</v>
      </c>
      <c r="D194" s="335"/>
      <c r="E194" s="336">
        <f t="shared" ca="1" si="44"/>
        <v>164181.18181818182</v>
      </c>
      <c r="F194" s="336">
        <f t="shared" ca="1" si="34"/>
        <v>147005.45081818182</v>
      </c>
      <c r="G194" s="343">
        <f t="shared" ca="1" si="38"/>
        <v>17175.731</v>
      </c>
      <c r="H194" s="336">
        <f t="shared" ca="1" si="39"/>
        <v>4139351.0685999999</v>
      </c>
      <c r="I194" s="337">
        <f t="shared" ca="1" si="35"/>
        <v>-4139351</v>
      </c>
    </row>
    <row r="195" spans="1:9">
      <c r="A195" s="335">
        <f t="shared" si="36"/>
        <v>178</v>
      </c>
      <c r="B195" s="340">
        <f t="shared" si="40"/>
        <v>51683</v>
      </c>
      <c r="C195" s="336">
        <f t="shared" ca="1" si="37"/>
        <v>4139351.0685999999</v>
      </c>
      <c r="D195" s="335"/>
      <c r="E195" s="336">
        <f t="shared" ca="1" si="44"/>
        <v>164181.18181818182</v>
      </c>
      <c r="F195" s="336">
        <f t="shared" ca="1" si="34"/>
        <v>147617.97381818184</v>
      </c>
      <c r="G195" s="343">
        <f t="shared" ca="1" si="38"/>
        <v>16563.207999999999</v>
      </c>
      <c r="H195" s="336">
        <f t="shared" ca="1" si="39"/>
        <v>3991733.0948000001</v>
      </c>
      <c r="I195" s="337">
        <f t="shared" ca="1" si="35"/>
        <v>-3991733</v>
      </c>
    </row>
    <row r="196" spans="1:9">
      <c r="A196" s="335">
        <f t="shared" si="36"/>
        <v>179</v>
      </c>
      <c r="B196" s="340">
        <f t="shared" si="40"/>
        <v>51714</v>
      </c>
      <c r="C196" s="336">
        <f t="shared" ca="1" si="37"/>
        <v>3991733.0948000001</v>
      </c>
      <c r="D196" s="335"/>
      <c r="E196" s="336">
        <f t="shared" ca="1" si="44"/>
        <v>164181.18181818182</v>
      </c>
      <c r="F196" s="336">
        <f t="shared" ca="1" si="34"/>
        <v>148233.04881818182</v>
      </c>
      <c r="G196" s="343">
        <f t="shared" ca="1" si="38"/>
        <v>15948.133</v>
      </c>
      <c r="H196" s="336">
        <f t="shared" ca="1" si="39"/>
        <v>3843500.0460000001</v>
      </c>
      <c r="I196" s="337">
        <f t="shared" ca="1" si="35"/>
        <v>-3843500</v>
      </c>
    </row>
    <row r="197" spans="1:9">
      <c r="A197" s="335">
        <f t="shared" si="36"/>
        <v>180</v>
      </c>
      <c r="B197" s="340">
        <f t="shared" si="40"/>
        <v>51745</v>
      </c>
      <c r="C197" s="336">
        <f t="shared" ca="1" si="37"/>
        <v>3843500.0460000001</v>
      </c>
      <c r="D197" s="336">
        <f ca="1">IF(H197&lt;0,0,(K32-L32)/11)</f>
        <v>167680.45454545456</v>
      </c>
      <c r="E197" s="336">
        <f t="shared" ca="1" si="44"/>
        <v>164181.18181818182</v>
      </c>
      <c r="F197" s="336">
        <f t="shared" ca="1" si="34"/>
        <v>148850.68681818183</v>
      </c>
      <c r="G197" s="343">
        <f t="shared" ca="1" si="38"/>
        <v>15330.495000000001</v>
      </c>
      <c r="H197" s="336">
        <f t="shared" ca="1" si="39"/>
        <v>3694649.3591999998</v>
      </c>
      <c r="I197" s="337">
        <f t="shared" ca="1" si="35"/>
        <v>-3526969</v>
      </c>
    </row>
    <row r="198" spans="1:9">
      <c r="A198" s="335">
        <f t="shared" si="36"/>
        <v>181</v>
      </c>
      <c r="B198" s="340">
        <f t="shared" si="40"/>
        <v>51775</v>
      </c>
      <c r="C198" s="336">
        <f t="shared" ca="1" si="37"/>
        <v>3694649.3591999998</v>
      </c>
      <c r="D198" s="336"/>
      <c r="E198" s="336">
        <f t="shared" ref="E198:E209" si="45">IF($D$10=1,
 IF(OR(MONTH(B198)=MONTH(EDATE($D$7,0)),MONTH(B198)=MONTH(EDATE($D$7,1)),MONTH(B198)=MONTH(EDATE($D$7,2)),MONTH(B198)=MONTH(EDATE($D$7,3)), MONTH(B198)=MONTH(EDATE($D$7,4)),MONTH(B198)=MONTH(EDATE($D$7,5)),MONTH(B198)=MONTH(EDATE($D$7,6)),MONTH(B198)=MONTH(EDATE($D$7,7)),MONTH(B198)=MONTH(EDATE($D$7,8)),MONTH(B198)=MONTH(EDATE($D$7,9)),MONTH(B198)=MONTH(EDATE($D$7,10))),(MIN( $D$197,H197)),0),
IF($D$10=0,
 IF(OR(MONTH(B198)=MONTH(EDATE($D$7,1)),MONTH(B198)=MONTH(EDATE($D$7,2)),MONTH(B198)=MONTH(EDATE($D$7,3)),MONTH(B198)=MONTH(EDATE($D$7,4)), MONTH(B198)=MONTH(EDATE($D$7,5)),MONTH(B198)=MONTH(EDATE($D$7,6)),MONTH(B198)=MONTH(EDATE($D$7,7)),MONTH(B198)=MONTH(EDATE($D$7,8)),MONTH(B198)=MONTH(EDATE($D$7,9)),MONTH(B198)=MONTH(EDATE($D$7,10)),MONTH(B198)=MONTH(EDATE($D$7,11))),(MIN( $D$197,H197)),0)))</f>
        <v>0</v>
      </c>
      <c r="F198" s="336">
        <f t="shared" ca="1" si="34"/>
        <v>-15394.371999999999</v>
      </c>
      <c r="G198" s="343">
        <f t="shared" ca="1" si="38"/>
        <v>15394.371999999999</v>
      </c>
      <c r="H198" s="336">
        <f t="shared" ca="1" si="39"/>
        <v>3710043.7311999998</v>
      </c>
      <c r="I198" s="337">
        <f t="shared" ca="1" si="35"/>
        <v>-3710044</v>
      </c>
    </row>
    <row r="199" spans="1:9">
      <c r="A199" s="335">
        <f t="shared" si="36"/>
        <v>182</v>
      </c>
      <c r="B199" s="340">
        <f t="shared" si="40"/>
        <v>51806</v>
      </c>
      <c r="C199" s="336">
        <f t="shared" ca="1" si="37"/>
        <v>3710043.7311999998</v>
      </c>
      <c r="D199" s="335"/>
      <c r="E199" s="336">
        <f t="shared" ca="1" si="45"/>
        <v>167680.45454545456</v>
      </c>
      <c r="F199" s="336">
        <f t="shared" ca="1" si="34"/>
        <v>152920.60754545455</v>
      </c>
      <c r="G199" s="343">
        <f t="shared" ca="1" si="38"/>
        <v>14759.847</v>
      </c>
      <c r="H199" s="336">
        <f t="shared" ca="1" si="39"/>
        <v>3557123.1236999999</v>
      </c>
      <c r="I199" s="337">
        <f t="shared" ca="1" si="35"/>
        <v>-3557123</v>
      </c>
    </row>
    <row r="200" spans="1:9">
      <c r="A200" s="335">
        <f t="shared" si="36"/>
        <v>183</v>
      </c>
      <c r="B200" s="340">
        <f t="shared" si="40"/>
        <v>51836</v>
      </c>
      <c r="C200" s="336">
        <f t="shared" ca="1" si="37"/>
        <v>3557123.1236999999</v>
      </c>
      <c r="D200" s="335"/>
      <c r="E200" s="336">
        <f t="shared" ca="1" si="45"/>
        <v>167680.45454545456</v>
      </c>
      <c r="F200" s="336">
        <f t="shared" ca="1" si="34"/>
        <v>153557.77654545457</v>
      </c>
      <c r="G200" s="343">
        <f t="shared" ca="1" si="38"/>
        <v>14122.678</v>
      </c>
      <c r="H200" s="336">
        <f t="shared" ca="1" si="39"/>
        <v>3403565.3472000002</v>
      </c>
      <c r="I200" s="337">
        <f t="shared" ca="1" si="35"/>
        <v>-3403565</v>
      </c>
    </row>
    <row r="201" spans="1:9">
      <c r="A201" s="335">
        <f t="shared" si="36"/>
        <v>184</v>
      </c>
      <c r="B201" s="340">
        <f t="shared" si="40"/>
        <v>51867</v>
      </c>
      <c r="C201" s="336">
        <f t="shared" ca="1" si="37"/>
        <v>3403565.3472000002</v>
      </c>
      <c r="D201" s="335"/>
      <c r="E201" s="336">
        <f t="shared" ca="1" si="45"/>
        <v>167680.45454545456</v>
      </c>
      <c r="F201" s="336">
        <f t="shared" ca="1" si="34"/>
        <v>154197.60054545457</v>
      </c>
      <c r="G201" s="343">
        <f t="shared" ca="1" si="38"/>
        <v>13482.853999999999</v>
      </c>
      <c r="H201" s="336">
        <f t="shared" ca="1" si="39"/>
        <v>3249367.7467</v>
      </c>
      <c r="I201" s="337">
        <f t="shared" ca="1" si="35"/>
        <v>-3249368</v>
      </c>
    </row>
    <row r="202" spans="1:9">
      <c r="A202" s="335">
        <f t="shared" si="36"/>
        <v>185</v>
      </c>
      <c r="B202" s="340">
        <f t="shared" si="40"/>
        <v>51898</v>
      </c>
      <c r="C202" s="336">
        <f t="shared" ca="1" si="37"/>
        <v>3249367.7467</v>
      </c>
      <c r="D202" s="335"/>
      <c r="E202" s="336">
        <f t="shared" ca="1" si="45"/>
        <v>167680.45454545456</v>
      </c>
      <c r="F202" s="336">
        <f t="shared" ca="1" si="34"/>
        <v>154840.09054545456</v>
      </c>
      <c r="G202" s="343">
        <f t="shared" ca="1" si="38"/>
        <v>12840.364</v>
      </c>
      <c r="H202" s="336">
        <f t="shared" ca="1" si="39"/>
        <v>3094527.6562000001</v>
      </c>
      <c r="I202" s="337">
        <f t="shared" ca="1" si="35"/>
        <v>-3094528</v>
      </c>
    </row>
    <row r="203" spans="1:9">
      <c r="A203" s="335">
        <f t="shared" si="36"/>
        <v>186</v>
      </c>
      <c r="B203" s="340">
        <f t="shared" si="40"/>
        <v>51926</v>
      </c>
      <c r="C203" s="336">
        <f t="shared" ca="1" si="37"/>
        <v>3094527.6562000001</v>
      </c>
      <c r="D203" s="335"/>
      <c r="E203" s="336">
        <f t="shared" ca="1" si="45"/>
        <v>167680.45454545456</v>
      </c>
      <c r="F203" s="336">
        <f t="shared" ca="1" si="34"/>
        <v>155485.25754545454</v>
      </c>
      <c r="G203" s="343">
        <f t="shared" ca="1" si="38"/>
        <v>12195.197</v>
      </c>
      <c r="H203" s="336">
        <f t="shared" ca="1" si="39"/>
        <v>2939042.3986999998</v>
      </c>
      <c r="I203" s="337">
        <f t="shared" ca="1" si="35"/>
        <v>-2939042</v>
      </c>
    </row>
    <row r="204" spans="1:9">
      <c r="A204" s="335">
        <f t="shared" si="36"/>
        <v>187</v>
      </c>
      <c r="B204" s="340">
        <f t="shared" si="40"/>
        <v>51957</v>
      </c>
      <c r="C204" s="336">
        <f t="shared" ca="1" si="37"/>
        <v>2939042.3986999998</v>
      </c>
      <c r="D204" s="335"/>
      <c r="E204" s="336">
        <f t="shared" ca="1" si="45"/>
        <v>167680.45454545456</v>
      </c>
      <c r="F204" s="336">
        <f t="shared" ca="1" si="34"/>
        <v>156133.11354545457</v>
      </c>
      <c r="G204" s="343">
        <f t="shared" ca="1" si="38"/>
        <v>11547.341</v>
      </c>
      <c r="H204" s="336">
        <f t="shared" ca="1" si="39"/>
        <v>2782909.2851999998</v>
      </c>
      <c r="I204" s="337">
        <f t="shared" ca="1" si="35"/>
        <v>-2782909</v>
      </c>
    </row>
    <row r="205" spans="1:9">
      <c r="A205" s="335">
        <f t="shared" si="36"/>
        <v>188</v>
      </c>
      <c r="B205" s="340">
        <f t="shared" si="40"/>
        <v>51987</v>
      </c>
      <c r="C205" s="336">
        <f t="shared" ca="1" si="37"/>
        <v>2782909.2851999998</v>
      </c>
      <c r="D205" s="335"/>
      <c r="E205" s="336">
        <f t="shared" ca="1" si="45"/>
        <v>167680.45454545456</v>
      </c>
      <c r="F205" s="336">
        <f t="shared" ca="1" si="34"/>
        <v>156783.66754545455</v>
      </c>
      <c r="G205" s="343">
        <f t="shared" ca="1" si="38"/>
        <v>10896.787</v>
      </c>
      <c r="H205" s="336">
        <f t="shared" ca="1" si="39"/>
        <v>2626125.6176999998</v>
      </c>
      <c r="I205" s="337">
        <f t="shared" ca="1" si="35"/>
        <v>-2626126</v>
      </c>
    </row>
    <row r="206" spans="1:9">
      <c r="A206" s="335">
        <f t="shared" si="36"/>
        <v>189</v>
      </c>
      <c r="B206" s="340">
        <f t="shared" si="40"/>
        <v>52018</v>
      </c>
      <c r="C206" s="336">
        <f t="shared" ca="1" si="37"/>
        <v>2626125.6176999998</v>
      </c>
      <c r="D206" s="335"/>
      <c r="E206" s="336">
        <f t="shared" ca="1" si="45"/>
        <v>167680.45454545456</v>
      </c>
      <c r="F206" s="336">
        <f t="shared" ca="1" si="34"/>
        <v>157436.93254545456</v>
      </c>
      <c r="G206" s="343">
        <f t="shared" ca="1" si="38"/>
        <v>10243.522000000001</v>
      </c>
      <c r="H206" s="336">
        <f t="shared" ca="1" si="39"/>
        <v>2468688.6852000002</v>
      </c>
      <c r="I206" s="337">
        <f t="shared" ca="1" si="35"/>
        <v>-2468689</v>
      </c>
    </row>
    <row r="207" spans="1:9">
      <c r="A207" s="335">
        <f t="shared" si="36"/>
        <v>190</v>
      </c>
      <c r="B207" s="340">
        <f t="shared" si="40"/>
        <v>52048</v>
      </c>
      <c r="C207" s="336">
        <f t="shared" ca="1" si="37"/>
        <v>2468688.6852000002</v>
      </c>
      <c r="D207" s="335"/>
      <c r="E207" s="336">
        <f t="shared" ca="1" si="45"/>
        <v>167680.45454545456</v>
      </c>
      <c r="F207" s="336">
        <f t="shared" ca="1" si="34"/>
        <v>158092.92054545454</v>
      </c>
      <c r="G207" s="343">
        <f t="shared" ca="1" si="38"/>
        <v>9587.5339999999997</v>
      </c>
      <c r="H207" s="336">
        <f t="shared" ca="1" si="39"/>
        <v>2310595.7647000002</v>
      </c>
      <c r="I207" s="337">
        <f t="shared" ca="1" si="35"/>
        <v>-2310596</v>
      </c>
    </row>
    <row r="208" spans="1:9">
      <c r="A208" s="335">
        <f t="shared" si="36"/>
        <v>191</v>
      </c>
      <c r="B208" s="340">
        <f t="shared" si="40"/>
        <v>52079</v>
      </c>
      <c r="C208" s="336">
        <f t="shared" ca="1" si="37"/>
        <v>2310595.7647000002</v>
      </c>
      <c r="D208" s="335"/>
      <c r="E208" s="336">
        <f t="shared" ca="1" si="45"/>
        <v>167680.45454545456</v>
      </c>
      <c r="F208" s="336">
        <f t="shared" ca="1" si="34"/>
        <v>158751.64054545455</v>
      </c>
      <c r="G208" s="343">
        <f t="shared" ca="1" si="38"/>
        <v>8928.8140000000003</v>
      </c>
      <c r="H208" s="336">
        <f t="shared" ca="1" si="39"/>
        <v>2151844.1242</v>
      </c>
      <c r="I208" s="337">
        <f t="shared" ca="1" si="35"/>
        <v>-2151844</v>
      </c>
    </row>
    <row r="209" spans="1:9">
      <c r="A209" s="335">
        <f t="shared" si="36"/>
        <v>192</v>
      </c>
      <c r="B209" s="340">
        <f t="shared" si="40"/>
        <v>52110</v>
      </c>
      <c r="C209" s="336">
        <f t="shared" ca="1" si="37"/>
        <v>2151844.1242</v>
      </c>
      <c r="D209" s="336">
        <f ca="1">IF(H209&lt;0,0,(K33-L33)/11)</f>
        <v>171273.90909090909</v>
      </c>
      <c r="E209" s="336">
        <f t="shared" ca="1" si="45"/>
        <v>167680.45454545456</v>
      </c>
      <c r="F209" s="336">
        <f t="shared" ca="1" si="34"/>
        <v>159413.10554545457</v>
      </c>
      <c r="G209" s="343">
        <f t="shared" ca="1" si="38"/>
        <v>8267.3490000000002</v>
      </c>
      <c r="H209" s="336">
        <f t="shared" ca="1" si="39"/>
        <v>1992431.0186999999</v>
      </c>
      <c r="I209" s="337">
        <f t="shared" ca="1" si="35"/>
        <v>-1821157</v>
      </c>
    </row>
    <row r="210" spans="1:9">
      <c r="A210" s="335">
        <f t="shared" si="36"/>
        <v>193</v>
      </c>
      <c r="B210" s="340">
        <f t="shared" si="40"/>
        <v>52140</v>
      </c>
      <c r="C210" s="336">
        <f t="shared" ca="1" si="37"/>
        <v>1992431.0186999999</v>
      </c>
      <c r="D210" s="336"/>
      <c r="E210" s="336">
        <f t="shared" ref="E210:E221" si="46">IF($D$10=1,
 IF(OR(MONTH(B210)=MONTH(EDATE($D$7,0)),MONTH(B210)=MONTH(EDATE($D$7,1)),MONTH(B210)=MONTH(EDATE($D$7,2)),MONTH(B210)=MONTH(EDATE($D$7,3)), MONTH(B210)=MONTH(EDATE($D$7,4)),MONTH(B210)=MONTH(EDATE($D$7,5)),MONTH(B210)=MONTH(EDATE($D$7,6)),MONTH(B210)=MONTH(EDATE($D$7,7)),MONTH(B210)=MONTH(EDATE($D$7,8)),MONTH(B210)=MONTH(EDATE($D$7,9)),MONTH(B210)=MONTH(EDATE($D$7,10))),(MIN( $D$209,H209)),0),
IF($D$10=0,
 IF(OR(MONTH(B210)=MONTH(EDATE($D$7,1)),MONTH(B210)=MONTH(EDATE($D$7,2)),MONTH(B210)=MONTH(EDATE($D$7,3)),MONTH(B210)=MONTH(EDATE($D$7,4)), MONTH(B210)=MONTH(EDATE($D$7,5)),MONTH(B210)=MONTH(EDATE($D$7,6)),MONTH(B210)=MONTH(EDATE($D$7,7)),MONTH(B210)=MONTH(EDATE($D$7,8)),MONTH(B210)=MONTH(EDATE($D$7,9)),MONTH(B210)=MONTH(EDATE($D$7,10)),MONTH(B210)=MONTH(EDATE($D$7,11))),(MIN( $D$209,H209)),0)))</f>
        <v>0</v>
      </c>
      <c r="F210" s="336">
        <f t="shared" ref="F210:F273" ca="1" si="47">IF(E210="","",E210-G210)</f>
        <v>-8301.7960000000003</v>
      </c>
      <c r="G210" s="343">
        <f t="shared" ca="1" si="38"/>
        <v>8301.7960000000003</v>
      </c>
      <c r="H210" s="336">
        <f t="shared" ca="1" si="39"/>
        <v>2000732.8147</v>
      </c>
      <c r="I210" s="337">
        <f t="shared" ref="I210:I273" ca="1" si="48">ROUND((D210-H210),0)</f>
        <v>-2000733</v>
      </c>
    </row>
    <row r="211" spans="1:9">
      <c r="A211" s="335">
        <f t="shared" ref="A211:A274" si="49">IF(A210="","",IF(A210=$D$6,"",A210+1))</f>
        <v>194</v>
      </c>
      <c r="B211" s="340">
        <f t="shared" si="40"/>
        <v>52171</v>
      </c>
      <c r="C211" s="336">
        <f t="shared" ref="C211:C274" ca="1" si="50">IF(H210=0,0,H210)</f>
        <v>2000732.8147</v>
      </c>
      <c r="D211" s="335"/>
      <c r="E211" s="336">
        <f t="shared" ca="1" si="46"/>
        <v>171273.90909090909</v>
      </c>
      <c r="F211" s="336">
        <f t="shared" ca="1" si="47"/>
        <v>163651.16409090909</v>
      </c>
      <c r="G211" s="343">
        <f t="shared" ref="G211:G274" ca="1" si="51">ROUND((C211-E211)*$D$5,3)</f>
        <v>7622.7449999999999</v>
      </c>
      <c r="H211" s="336">
        <f t="shared" ref="H211:H274" ca="1" si="52">IF(E211="","",ROUND(H210-F211,4))</f>
        <v>1837081.6506000001</v>
      </c>
      <c r="I211" s="337">
        <f t="shared" ca="1" si="48"/>
        <v>-1837082</v>
      </c>
    </row>
    <row r="212" spans="1:9">
      <c r="A212" s="335">
        <f t="shared" si="49"/>
        <v>195</v>
      </c>
      <c r="B212" s="340">
        <f t="shared" ref="B212:B275" si="53">DATE(YEAR(B211),MONTH(B211)+1,1)</f>
        <v>52201</v>
      </c>
      <c r="C212" s="336">
        <f t="shared" ca="1" si="50"/>
        <v>1837081.6506000001</v>
      </c>
      <c r="D212" s="335"/>
      <c r="E212" s="336">
        <f t="shared" ca="1" si="46"/>
        <v>171273.90909090909</v>
      </c>
      <c r="F212" s="336">
        <f t="shared" ca="1" si="47"/>
        <v>164333.04309090908</v>
      </c>
      <c r="G212" s="343">
        <f t="shared" ca="1" si="51"/>
        <v>6940.866</v>
      </c>
      <c r="H212" s="336">
        <f t="shared" ca="1" si="52"/>
        <v>1672748.6074999999</v>
      </c>
      <c r="I212" s="337">
        <f t="shared" ca="1" si="48"/>
        <v>-1672749</v>
      </c>
    </row>
    <row r="213" spans="1:9">
      <c r="A213" s="335">
        <f t="shared" si="49"/>
        <v>196</v>
      </c>
      <c r="B213" s="340">
        <f t="shared" si="53"/>
        <v>52232</v>
      </c>
      <c r="C213" s="336">
        <f t="shared" ca="1" si="50"/>
        <v>1672748.6074999999</v>
      </c>
      <c r="D213" s="335"/>
      <c r="E213" s="336">
        <f t="shared" ca="1" si="46"/>
        <v>171273.90909090909</v>
      </c>
      <c r="F213" s="336">
        <f t="shared" ca="1" si="47"/>
        <v>165017.7640909091</v>
      </c>
      <c r="G213" s="343">
        <f t="shared" ca="1" si="51"/>
        <v>6256.1450000000004</v>
      </c>
      <c r="H213" s="336">
        <f t="shared" ca="1" si="52"/>
        <v>1507730.8433999999</v>
      </c>
      <c r="I213" s="337">
        <f t="shared" ca="1" si="48"/>
        <v>-1507731</v>
      </c>
    </row>
    <row r="214" spans="1:9">
      <c r="A214" s="335">
        <f t="shared" si="49"/>
        <v>197</v>
      </c>
      <c r="B214" s="340">
        <f t="shared" si="53"/>
        <v>52263</v>
      </c>
      <c r="C214" s="336">
        <f t="shared" ca="1" si="50"/>
        <v>1507730.8433999999</v>
      </c>
      <c r="D214" s="335"/>
      <c r="E214" s="336">
        <f t="shared" ca="1" si="46"/>
        <v>171273.90909090909</v>
      </c>
      <c r="F214" s="336">
        <f t="shared" ca="1" si="47"/>
        <v>165705.33809090909</v>
      </c>
      <c r="G214" s="343">
        <f t="shared" ca="1" si="51"/>
        <v>5568.5709999999999</v>
      </c>
      <c r="H214" s="336">
        <f t="shared" ca="1" si="52"/>
        <v>1342025.5053000001</v>
      </c>
      <c r="I214" s="337">
        <f t="shared" ca="1" si="48"/>
        <v>-1342026</v>
      </c>
    </row>
    <row r="215" spans="1:9">
      <c r="A215" s="335">
        <f t="shared" si="49"/>
        <v>198</v>
      </c>
      <c r="B215" s="340">
        <f t="shared" si="53"/>
        <v>52291</v>
      </c>
      <c r="C215" s="336">
        <f t="shared" ca="1" si="50"/>
        <v>1342025.5053000001</v>
      </c>
      <c r="D215" s="335"/>
      <c r="E215" s="336">
        <f t="shared" ca="1" si="46"/>
        <v>171273.90909090909</v>
      </c>
      <c r="F215" s="336">
        <f t="shared" ca="1" si="47"/>
        <v>166395.77709090908</v>
      </c>
      <c r="G215" s="343">
        <f t="shared" ca="1" si="51"/>
        <v>4878.1319999999996</v>
      </c>
      <c r="H215" s="336">
        <f t="shared" ca="1" si="52"/>
        <v>1175629.7282</v>
      </c>
      <c r="I215" s="337">
        <f t="shared" ca="1" si="48"/>
        <v>-1175630</v>
      </c>
    </row>
    <row r="216" spans="1:9">
      <c r="A216" s="335">
        <f t="shared" si="49"/>
        <v>199</v>
      </c>
      <c r="B216" s="340">
        <f t="shared" si="53"/>
        <v>52322</v>
      </c>
      <c r="C216" s="336">
        <f t="shared" ca="1" si="50"/>
        <v>1175629.7282</v>
      </c>
      <c r="D216" s="335"/>
      <c r="E216" s="336">
        <f t="shared" ca="1" si="46"/>
        <v>171273.90909090909</v>
      </c>
      <c r="F216" s="336">
        <f t="shared" ca="1" si="47"/>
        <v>167089.0930909091</v>
      </c>
      <c r="G216" s="343">
        <f t="shared" ca="1" si="51"/>
        <v>4184.8159999999998</v>
      </c>
      <c r="H216" s="336">
        <f t="shared" ca="1" si="52"/>
        <v>1008540.6351</v>
      </c>
      <c r="I216" s="337">
        <f t="shared" ca="1" si="48"/>
        <v>-1008541</v>
      </c>
    </row>
    <row r="217" spans="1:9">
      <c r="A217" s="335">
        <f t="shared" si="49"/>
        <v>200</v>
      </c>
      <c r="B217" s="340">
        <f t="shared" si="53"/>
        <v>52352</v>
      </c>
      <c r="C217" s="336">
        <f t="shared" ca="1" si="50"/>
        <v>1008540.6351</v>
      </c>
      <c r="D217" s="335"/>
      <c r="E217" s="336">
        <f t="shared" ca="1" si="46"/>
        <v>171273.90909090909</v>
      </c>
      <c r="F217" s="336">
        <f t="shared" ca="1" si="47"/>
        <v>167785.29809090908</v>
      </c>
      <c r="G217" s="343">
        <f t="shared" ca="1" si="51"/>
        <v>3488.6109999999999</v>
      </c>
      <c r="H217" s="336">
        <f t="shared" ca="1" si="52"/>
        <v>840755.33700000006</v>
      </c>
      <c r="I217" s="337">
        <f t="shared" ca="1" si="48"/>
        <v>-840755</v>
      </c>
    </row>
    <row r="218" spans="1:9">
      <c r="A218" s="335">
        <f t="shared" si="49"/>
        <v>201</v>
      </c>
      <c r="B218" s="340">
        <f t="shared" si="53"/>
        <v>52383</v>
      </c>
      <c r="C218" s="336">
        <f t="shared" ca="1" si="50"/>
        <v>840755.33700000006</v>
      </c>
      <c r="D218" s="335"/>
      <c r="E218" s="336">
        <f t="shared" ca="1" si="46"/>
        <v>171273.90909090909</v>
      </c>
      <c r="F218" s="336">
        <f t="shared" ca="1" si="47"/>
        <v>168484.40309090909</v>
      </c>
      <c r="G218" s="343">
        <f t="shared" ca="1" si="51"/>
        <v>2789.5059999999999</v>
      </c>
      <c r="H218" s="336">
        <f t="shared" ca="1" si="52"/>
        <v>672270.93389999995</v>
      </c>
      <c r="I218" s="337">
        <f t="shared" ca="1" si="48"/>
        <v>-672271</v>
      </c>
    </row>
    <row r="219" spans="1:9">
      <c r="A219" s="335">
        <f t="shared" si="49"/>
        <v>202</v>
      </c>
      <c r="B219" s="340">
        <f t="shared" si="53"/>
        <v>52413</v>
      </c>
      <c r="C219" s="336">
        <f t="shared" ca="1" si="50"/>
        <v>672270.93389999995</v>
      </c>
      <c r="D219" s="335"/>
      <c r="E219" s="336">
        <f t="shared" ca="1" si="46"/>
        <v>171273.90909090909</v>
      </c>
      <c r="F219" s="336">
        <f t="shared" ca="1" si="47"/>
        <v>169186.42109090908</v>
      </c>
      <c r="G219" s="343">
        <f t="shared" ca="1" si="51"/>
        <v>2087.4879999999998</v>
      </c>
      <c r="H219" s="336">
        <f t="shared" ca="1" si="52"/>
        <v>503084.51280000003</v>
      </c>
      <c r="I219" s="337">
        <f t="shared" ca="1" si="48"/>
        <v>-503085</v>
      </c>
    </row>
    <row r="220" spans="1:9">
      <c r="A220" s="335">
        <f t="shared" si="49"/>
        <v>203</v>
      </c>
      <c r="B220" s="340">
        <f t="shared" si="53"/>
        <v>52444</v>
      </c>
      <c r="C220" s="336">
        <f t="shared" ca="1" si="50"/>
        <v>503084.51280000003</v>
      </c>
      <c r="D220" s="335"/>
      <c r="E220" s="336">
        <f t="shared" ca="1" si="46"/>
        <v>171273.90909090909</v>
      </c>
      <c r="F220" s="336">
        <f t="shared" ca="1" si="47"/>
        <v>169891.36509090909</v>
      </c>
      <c r="G220" s="343">
        <f t="shared" ca="1" si="51"/>
        <v>1382.5440000000001</v>
      </c>
      <c r="H220" s="336">
        <f t="shared" ca="1" si="52"/>
        <v>333193.14769999997</v>
      </c>
      <c r="I220" s="337">
        <f t="shared" ca="1" si="48"/>
        <v>-333193</v>
      </c>
    </row>
    <row r="221" spans="1:9">
      <c r="A221" s="335">
        <f t="shared" si="49"/>
        <v>204</v>
      </c>
      <c r="B221" s="340">
        <f t="shared" si="53"/>
        <v>52475</v>
      </c>
      <c r="C221" s="336">
        <f t="shared" ca="1" si="50"/>
        <v>333193.14769999997</v>
      </c>
      <c r="D221" s="336">
        <f ca="1">IF(H221&lt;0,0,(K34-L34)/11)</f>
        <v>174964.54545454544</v>
      </c>
      <c r="E221" s="336">
        <f t="shared" ca="1" si="46"/>
        <v>171273.90909090909</v>
      </c>
      <c r="F221" s="336">
        <f t="shared" ca="1" si="47"/>
        <v>170599.24609090909</v>
      </c>
      <c r="G221" s="343">
        <f t="shared" ca="1" si="51"/>
        <v>674.66300000000001</v>
      </c>
      <c r="H221" s="336">
        <f t="shared" ca="1" si="52"/>
        <v>162593.90160000001</v>
      </c>
      <c r="I221" s="337">
        <f t="shared" ca="1" si="48"/>
        <v>12371</v>
      </c>
    </row>
    <row r="222" spans="1:9">
      <c r="A222" s="335">
        <f t="shared" si="49"/>
        <v>205</v>
      </c>
      <c r="B222" s="340">
        <f t="shared" si="53"/>
        <v>52505</v>
      </c>
      <c r="C222" s="336">
        <f t="shared" ca="1" si="50"/>
        <v>162593.90160000001</v>
      </c>
      <c r="D222" s="336"/>
      <c r="E222" s="336">
        <f t="shared" ref="E222:E233" si="54">IF($D$10=1,
 IF(OR(MONTH(B222)=MONTH(EDATE($D$7,0)),MONTH(B222)=MONTH(EDATE($D$7,1)),MONTH(B222)=MONTH(EDATE($D$7,2)),MONTH(B222)=MONTH(EDATE($D$7,3)), MONTH(B222)=MONTH(EDATE($D$7,4)),MONTH(B222)=MONTH(EDATE($D$7,5)),MONTH(B222)=MONTH(EDATE($D$7,6)),MONTH(B222)=MONTH(EDATE($D$7,7)),MONTH(B222)=MONTH(EDATE($D$7,8)),MONTH(B222)=MONTH(EDATE($D$7,9)),MONTH(B222)=MONTH(EDATE($D$7,10))),(MIN( $D$221,H221)),0),
IF($D$10=0,
 IF(OR(MONTH(B222)=MONTH(EDATE($D$7,1)),MONTH(B222)=MONTH(EDATE($D$7,2)),MONTH(B222)=MONTH(EDATE($D$7,3)),MONTH(B222)=MONTH(EDATE($D$7,4)), MONTH(B222)=MONTH(EDATE($D$7,5)),MONTH(B222)=MONTH(EDATE($D$7,6)),MONTH(B222)=MONTH(EDATE($D$7,7)),MONTH(B222)=MONTH(EDATE($D$7,8)),MONTH(B222)=MONTH(EDATE($D$7,9)),MONTH(B222)=MONTH(EDATE($D$7,10)),MONTH(B222)=MONTH(EDATE($D$7,11))),(MIN( $D$221,H221)),0)))</f>
        <v>0</v>
      </c>
      <c r="F222" s="336">
        <f t="shared" ca="1" si="47"/>
        <v>-677.47500000000002</v>
      </c>
      <c r="G222" s="343">
        <f t="shared" ca="1" si="51"/>
        <v>677.47500000000002</v>
      </c>
      <c r="H222" s="336">
        <f t="shared" ca="1" si="52"/>
        <v>163271.37659999999</v>
      </c>
      <c r="I222" s="337">
        <f t="shared" ca="1" si="48"/>
        <v>-163271</v>
      </c>
    </row>
    <row r="223" spans="1:9">
      <c r="A223" s="335">
        <f t="shared" si="49"/>
        <v>206</v>
      </c>
      <c r="B223" s="340">
        <f t="shared" si="53"/>
        <v>52536</v>
      </c>
      <c r="C223" s="336">
        <f t="shared" ca="1" si="50"/>
        <v>163271.37659999999</v>
      </c>
      <c r="D223" s="335"/>
      <c r="E223" s="336">
        <f t="shared" ca="1" si="54"/>
        <v>163271.37659999999</v>
      </c>
      <c r="F223" s="336">
        <f t="shared" ca="1" si="47"/>
        <v>163271.37659999999</v>
      </c>
      <c r="G223" s="343">
        <f t="shared" ca="1" si="51"/>
        <v>0</v>
      </c>
      <c r="H223" s="336">
        <f t="shared" ca="1" si="52"/>
        <v>0</v>
      </c>
      <c r="I223" s="337">
        <f t="shared" ca="1" si="48"/>
        <v>0</v>
      </c>
    </row>
    <row r="224" spans="1:9">
      <c r="A224" s="335">
        <f t="shared" si="49"/>
        <v>207</v>
      </c>
      <c r="B224" s="340">
        <f t="shared" si="53"/>
        <v>52566</v>
      </c>
      <c r="C224" s="336">
        <f t="shared" ca="1" si="50"/>
        <v>0</v>
      </c>
      <c r="D224" s="335"/>
      <c r="E224" s="336">
        <f t="shared" ca="1" si="54"/>
        <v>0</v>
      </c>
      <c r="F224" s="336">
        <f t="shared" ca="1" si="47"/>
        <v>0</v>
      </c>
      <c r="G224" s="343">
        <f t="shared" ca="1" si="51"/>
        <v>0</v>
      </c>
      <c r="H224" s="336">
        <f t="shared" ca="1" si="52"/>
        <v>0</v>
      </c>
      <c r="I224" s="337">
        <f t="shared" ca="1" si="48"/>
        <v>0</v>
      </c>
    </row>
    <row r="225" spans="1:9">
      <c r="A225" s="335">
        <f t="shared" si="49"/>
        <v>208</v>
      </c>
      <c r="B225" s="340">
        <f t="shared" si="53"/>
        <v>52597</v>
      </c>
      <c r="C225" s="336">
        <f t="shared" ca="1" si="50"/>
        <v>0</v>
      </c>
      <c r="D225" s="335"/>
      <c r="E225" s="336">
        <f t="shared" ca="1" si="54"/>
        <v>0</v>
      </c>
      <c r="F225" s="336">
        <f t="shared" ca="1" si="47"/>
        <v>0</v>
      </c>
      <c r="G225" s="343">
        <f t="shared" ca="1" si="51"/>
        <v>0</v>
      </c>
      <c r="H225" s="336">
        <f t="shared" ca="1" si="52"/>
        <v>0</v>
      </c>
      <c r="I225" s="337">
        <f t="shared" ca="1" si="48"/>
        <v>0</v>
      </c>
    </row>
    <row r="226" spans="1:9">
      <c r="A226" s="335">
        <f t="shared" si="49"/>
        <v>209</v>
      </c>
      <c r="B226" s="340">
        <f t="shared" si="53"/>
        <v>52628</v>
      </c>
      <c r="C226" s="336">
        <f t="shared" ca="1" si="50"/>
        <v>0</v>
      </c>
      <c r="D226" s="335"/>
      <c r="E226" s="336">
        <f t="shared" ca="1" si="54"/>
        <v>0</v>
      </c>
      <c r="F226" s="336">
        <f t="shared" ca="1" si="47"/>
        <v>0</v>
      </c>
      <c r="G226" s="343">
        <f t="shared" ca="1" si="51"/>
        <v>0</v>
      </c>
      <c r="H226" s="336">
        <f t="shared" ca="1" si="52"/>
        <v>0</v>
      </c>
      <c r="I226" s="337">
        <f t="shared" ca="1" si="48"/>
        <v>0</v>
      </c>
    </row>
    <row r="227" spans="1:9">
      <c r="A227" s="335">
        <f t="shared" si="49"/>
        <v>210</v>
      </c>
      <c r="B227" s="340">
        <f t="shared" si="53"/>
        <v>52657</v>
      </c>
      <c r="C227" s="336">
        <f t="shared" ca="1" si="50"/>
        <v>0</v>
      </c>
      <c r="D227" s="335"/>
      <c r="E227" s="336">
        <f t="shared" ca="1" si="54"/>
        <v>0</v>
      </c>
      <c r="F227" s="336">
        <f t="shared" ca="1" si="47"/>
        <v>0</v>
      </c>
      <c r="G227" s="343">
        <f t="shared" ca="1" si="51"/>
        <v>0</v>
      </c>
      <c r="H227" s="336">
        <f t="shared" ca="1" si="52"/>
        <v>0</v>
      </c>
      <c r="I227" s="337">
        <f t="shared" ca="1" si="48"/>
        <v>0</v>
      </c>
    </row>
    <row r="228" spans="1:9">
      <c r="A228" s="335">
        <f t="shared" si="49"/>
        <v>211</v>
      </c>
      <c r="B228" s="340">
        <f t="shared" si="53"/>
        <v>52688</v>
      </c>
      <c r="C228" s="336">
        <f t="shared" ca="1" si="50"/>
        <v>0</v>
      </c>
      <c r="D228" s="335"/>
      <c r="E228" s="336">
        <f t="shared" ca="1" si="54"/>
        <v>0</v>
      </c>
      <c r="F228" s="336">
        <f t="shared" ca="1" si="47"/>
        <v>0</v>
      </c>
      <c r="G228" s="343">
        <f t="shared" ca="1" si="51"/>
        <v>0</v>
      </c>
      <c r="H228" s="336">
        <f t="shared" ca="1" si="52"/>
        <v>0</v>
      </c>
      <c r="I228" s="337">
        <f t="shared" ca="1" si="48"/>
        <v>0</v>
      </c>
    </row>
    <row r="229" spans="1:9">
      <c r="A229" s="335">
        <f t="shared" si="49"/>
        <v>212</v>
      </c>
      <c r="B229" s="340">
        <f t="shared" si="53"/>
        <v>52718</v>
      </c>
      <c r="C229" s="336">
        <f t="shared" ca="1" si="50"/>
        <v>0</v>
      </c>
      <c r="D229" s="335"/>
      <c r="E229" s="336">
        <f t="shared" ca="1" si="54"/>
        <v>0</v>
      </c>
      <c r="F229" s="336">
        <f t="shared" ca="1" si="47"/>
        <v>0</v>
      </c>
      <c r="G229" s="343">
        <f t="shared" ca="1" si="51"/>
        <v>0</v>
      </c>
      <c r="H229" s="336">
        <f t="shared" ca="1" si="52"/>
        <v>0</v>
      </c>
      <c r="I229" s="337">
        <f t="shared" ca="1" si="48"/>
        <v>0</v>
      </c>
    </row>
    <row r="230" spans="1:9">
      <c r="A230" s="335">
        <f t="shared" si="49"/>
        <v>213</v>
      </c>
      <c r="B230" s="340">
        <f t="shared" si="53"/>
        <v>52749</v>
      </c>
      <c r="C230" s="336">
        <f t="shared" ca="1" si="50"/>
        <v>0</v>
      </c>
      <c r="D230" s="335"/>
      <c r="E230" s="336">
        <f t="shared" ca="1" si="54"/>
        <v>0</v>
      </c>
      <c r="F230" s="336">
        <f t="shared" ca="1" si="47"/>
        <v>0</v>
      </c>
      <c r="G230" s="343">
        <f t="shared" ca="1" si="51"/>
        <v>0</v>
      </c>
      <c r="H230" s="336">
        <f t="shared" ca="1" si="52"/>
        <v>0</v>
      </c>
      <c r="I230" s="337">
        <f t="shared" ca="1" si="48"/>
        <v>0</v>
      </c>
    </row>
    <row r="231" spans="1:9">
      <c r="A231" s="335">
        <f t="shared" si="49"/>
        <v>214</v>
      </c>
      <c r="B231" s="340">
        <f t="shared" si="53"/>
        <v>52779</v>
      </c>
      <c r="C231" s="336">
        <f t="shared" ca="1" si="50"/>
        <v>0</v>
      </c>
      <c r="D231" s="335"/>
      <c r="E231" s="336">
        <f t="shared" ca="1" si="54"/>
        <v>0</v>
      </c>
      <c r="F231" s="336">
        <f t="shared" ca="1" si="47"/>
        <v>0</v>
      </c>
      <c r="G231" s="343">
        <f t="shared" ca="1" si="51"/>
        <v>0</v>
      </c>
      <c r="H231" s="336">
        <f t="shared" ca="1" si="52"/>
        <v>0</v>
      </c>
      <c r="I231" s="337">
        <f t="shared" ca="1" si="48"/>
        <v>0</v>
      </c>
    </row>
    <row r="232" spans="1:9">
      <c r="A232" s="335">
        <f t="shared" si="49"/>
        <v>215</v>
      </c>
      <c r="B232" s="340">
        <f t="shared" si="53"/>
        <v>52810</v>
      </c>
      <c r="C232" s="336">
        <f t="shared" ca="1" si="50"/>
        <v>0</v>
      </c>
      <c r="D232" s="335"/>
      <c r="E232" s="336">
        <f t="shared" ca="1" si="54"/>
        <v>0</v>
      </c>
      <c r="F232" s="336">
        <f t="shared" ca="1" si="47"/>
        <v>0</v>
      </c>
      <c r="G232" s="343">
        <f t="shared" ca="1" si="51"/>
        <v>0</v>
      </c>
      <c r="H232" s="336">
        <f t="shared" ca="1" si="52"/>
        <v>0</v>
      </c>
      <c r="I232" s="337">
        <f t="shared" ca="1" si="48"/>
        <v>0</v>
      </c>
    </row>
    <row r="233" spans="1:9">
      <c r="A233" s="335">
        <f t="shared" si="49"/>
        <v>216</v>
      </c>
      <c r="B233" s="340">
        <f t="shared" si="53"/>
        <v>52841</v>
      </c>
      <c r="C233" s="336">
        <f t="shared" ca="1" si="50"/>
        <v>0</v>
      </c>
      <c r="D233" s="336">
        <f ca="1">IF(H233&lt;0,0,(K35-L35)/11)</f>
        <v>178755.27272727274</v>
      </c>
      <c r="E233" s="336">
        <f t="shared" ca="1" si="54"/>
        <v>0</v>
      </c>
      <c r="F233" s="336">
        <f t="shared" ca="1" si="47"/>
        <v>0</v>
      </c>
      <c r="G233" s="343">
        <f t="shared" ca="1" si="51"/>
        <v>0</v>
      </c>
      <c r="H233" s="336">
        <f t="shared" ca="1" si="52"/>
        <v>0</v>
      </c>
      <c r="I233" s="337">
        <f t="shared" ca="1" si="48"/>
        <v>178755</v>
      </c>
    </row>
    <row r="234" spans="1:9">
      <c r="A234" s="335">
        <f t="shared" si="49"/>
        <v>217</v>
      </c>
      <c r="B234" s="340">
        <f t="shared" si="53"/>
        <v>52871</v>
      </c>
      <c r="C234" s="336">
        <f t="shared" ca="1" si="50"/>
        <v>0</v>
      </c>
      <c r="D234" s="336"/>
      <c r="E234" s="336">
        <f t="shared" ref="E234:E245" si="55">IF($D$10=1,
 IF(OR(MONTH(B234)=MONTH(EDATE($D$7,0)),MONTH(B234)=MONTH(EDATE($D$7,1)),MONTH(B234)=MONTH(EDATE($D$7,2)),MONTH(B234)=MONTH(EDATE($D$7,3)), MONTH(B234)=MONTH(EDATE($D$7,4)),MONTH(B234)=MONTH(EDATE($D$7,5)),MONTH(B234)=MONTH(EDATE($D$7,6)),MONTH(B234)=MONTH(EDATE($D$7,7)),MONTH(B234)=MONTH(EDATE($D$7,8)),MONTH(B234)=MONTH(EDATE($D$7,9)),MONTH(B234)=MONTH(EDATE($D$7,10))),(MIN( $D$233,H233)),0),
IF($D$10=0,
 IF(OR(MONTH(B234)=MONTH(EDATE($D$7,1)),MONTH(B234)=MONTH(EDATE($D$7,2)),MONTH(B234)=MONTH(EDATE($D$7,3)),MONTH(B234)=MONTH(EDATE($D$7,4)), MONTH(B234)=MONTH(EDATE($D$7,5)),MONTH(B234)=MONTH(EDATE($D$7,6)),MONTH(B234)=MONTH(EDATE($D$7,7)),MONTH(B234)=MONTH(EDATE($D$7,8)),MONTH(B234)=MONTH(EDATE($D$7,9)),MONTH(B234)=MONTH(EDATE($D$7,10)),MONTH(B234)=MONTH(EDATE($D$7,11))),(MIN( $D$233,H233)),0)))</f>
        <v>0</v>
      </c>
      <c r="F234" s="336">
        <f t="shared" ca="1" si="47"/>
        <v>0</v>
      </c>
      <c r="G234" s="343">
        <f t="shared" ca="1" si="51"/>
        <v>0</v>
      </c>
      <c r="H234" s="336">
        <f t="shared" ca="1" si="52"/>
        <v>0</v>
      </c>
      <c r="I234" s="337">
        <f t="shared" ca="1" si="48"/>
        <v>0</v>
      </c>
    </row>
    <row r="235" spans="1:9">
      <c r="A235" s="335">
        <f t="shared" si="49"/>
        <v>218</v>
      </c>
      <c r="B235" s="340">
        <f t="shared" si="53"/>
        <v>52902</v>
      </c>
      <c r="C235" s="336">
        <f t="shared" ca="1" si="50"/>
        <v>0</v>
      </c>
      <c r="D235" s="335"/>
      <c r="E235" s="336">
        <f t="shared" ca="1" si="55"/>
        <v>0</v>
      </c>
      <c r="F235" s="336">
        <f t="shared" ca="1" si="47"/>
        <v>0</v>
      </c>
      <c r="G235" s="343">
        <f t="shared" ca="1" si="51"/>
        <v>0</v>
      </c>
      <c r="H235" s="336">
        <f t="shared" ca="1" si="52"/>
        <v>0</v>
      </c>
      <c r="I235" s="337">
        <f t="shared" ca="1" si="48"/>
        <v>0</v>
      </c>
    </row>
    <row r="236" spans="1:9">
      <c r="A236" s="335">
        <f t="shared" si="49"/>
        <v>219</v>
      </c>
      <c r="B236" s="340">
        <f t="shared" si="53"/>
        <v>52932</v>
      </c>
      <c r="C236" s="336">
        <f t="shared" ca="1" si="50"/>
        <v>0</v>
      </c>
      <c r="D236" s="335"/>
      <c r="E236" s="336">
        <f t="shared" ca="1" si="55"/>
        <v>0</v>
      </c>
      <c r="F236" s="336">
        <f t="shared" ca="1" si="47"/>
        <v>0</v>
      </c>
      <c r="G236" s="343">
        <f t="shared" ca="1" si="51"/>
        <v>0</v>
      </c>
      <c r="H236" s="336">
        <f t="shared" ca="1" si="52"/>
        <v>0</v>
      </c>
      <c r="I236" s="337">
        <f t="shared" ca="1" si="48"/>
        <v>0</v>
      </c>
    </row>
    <row r="237" spans="1:9">
      <c r="A237" s="335">
        <f t="shared" si="49"/>
        <v>220</v>
      </c>
      <c r="B237" s="340">
        <f t="shared" si="53"/>
        <v>52963</v>
      </c>
      <c r="C237" s="336">
        <f t="shared" ca="1" si="50"/>
        <v>0</v>
      </c>
      <c r="D237" s="335"/>
      <c r="E237" s="336">
        <f t="shared" ca="1" si="55"/>
        <v>0</v>
      </c>
      <c r="F237" s="336">
        <f t="shared" ca="1" si="47"/>
        <v>0</v>
      </c>
      <c r="G237" s="343">
        <f t="shared" ca="1" si="51"/>
        <v>0</v>
      </c>
      <c r="H237" s="336">
        <f t="shared" ca="1" si="52"/>
        <v>0</v>
      </c>
      <c r="I237" s="337">
        <f t="shared" ca="1" si="48"/>
        <v>0</v>
      </c>
    </row>
    <row r="238" spans="1:9">
      <c r="A238" s="335">
        <f t="shared" si="49"/>
        <v>221</v>
      </c>
      <c r="B238" s="340">
        <f t="shared" si="53"/>
        <v>52994</v>
      </c>
      <c r="C238" s="336">
        <f t="shared" ca="1" si="50"/>
        <v>0</v>
      </c>
      <c r="D238" s="335"/>
      <c r="E238" s="336">
        <f t="shared" ca="1" si="55"/>
        <v>0</v>
      </c>
      <c r="F238" s="336">
        <f t="shared" ca="1" si="47"/>
        <v>0</v>
      </c>
      <c r="G238" s="343">
        <f t="shared" ca="1" si="51"/>
        <v>0</v>
      </c>
      <c r="H238" s="336">
        <f t="shared" ca="1" si="52"/>
        <v>0</v>
      </c>
      <c r="I238" s="337">
        <f t="shared" ca="1" si="48"/>
        <v>0</v>
      </c>
    </row>
    <row r="239" spans="1:9">
      <c r="A239" s="335">
        <f t="shared" si="49"/>
        <v>222</v>
      </c>
      <c r="B239" s="340">
        <f t="shared" si="53"/>
        <v>53022</v>
      </c>
      <c r="C239" s="336">
        <f t="shared" ca="1" si="50"/>
        <v>0</v>
      </c>
      <c r="D239" s="335"/>
      <c r="E239" s="336">
        <f t="shared" ca="1" si="55"/>
        <v>0</v>
      </c>
      <c r="F239" s="336">
        <f t="shared" ca="1" si="47"/>
        <v>0</v>
      </c>
      <c r="G239" s="343">
        <f t="shared" ca="1" si="51"/>
        <v>0</v>
      </c>
      <c r="H239" s="336">
        <f t="shared" ca="1" si="52"/>
        <v>0</v>
      </c>
      <c r="I239" s="337">
        <f t="shared" ca="1" si="48"/>
        <v>0</v>
      </c>
    </row>
    <row r="240" spans="1:9">
      <c r="A240" s="335">
        <f t="shared" si="49"/>
        <v>223</v>
      </c>
      <c r="B240" s="340">
        <f t="shared" si="53"/>
        <v>53053</v>
      </c>
      <c r="C240" s="336">
        <f t="shared" ca="1" si="50"/>
        <v>0</v>
      </c>
      <c r="D240" s="335"/>
      <c r="E240" s="336">
        <f t="shared" ca="1" si="55"/>
        <v>0</v>
      </c>
      <c r="F240" s="336">
        <f t="shared" ca="1" si="47"/>
        <v>0</v>
      </c>
      <c r="G240" s="343">
        <f t="shared" ca="1" si="51"/>
        <v>0</v>
      </c>
      <c r="H240" s="336">
        <f t="shared" ca="1" si="52"/>
        <v>0</v>
      </c>
      <c r="I240" s="337">
        <f t="shared" ca="1" si="48"/>
        <v>0</v>
      </c>
    </row>
    <row r="241" spans="1:9">
      <c r="A241" s="335">
        <f t="shared" si="49"/>
        <v>224</v>
      </c>
      <c r="B241" s="340">
        <f t="shared" si="53"/>
        <v>53083</v>
      </c>
      <c r="C241" s="336">
        <f t="shared" ca="1" si="50"/>
        <v>0</v>
      </c>
      <c r="D241" s="335"/>
      <c r="E241" s="336">
        <f t="shared" ca="1" si="55"/>
        <v>0</v>
      </c>
      <c r="F241" s="336">
        <f t="shared" ca="1" si="47"/>
        <v>0</v>
      </c>
      <c r="G241" s="343">
        <f t="shared" ca="1" si="51"/>
        <v>0</v>
      </c>
      <c r="H241" s="336">
        <f t="shared" ca="1" si="52"/>
        <v>0</v>
      </c>
      <c r="I241" s="337">
        <f t="shared" ca="1" si="48"/>
        <v>0</v>
      </c>
    </row>
    <row r="242" spans="1:9">
      <c r="A242" s="335">
        <f t="shared" si="49"/>
        <v>225</v>
      </c>
      <c r="B242" s="340">
        <f t="shared" si="53"/>
        <v>53114</v>
      </c>
      <c r="C242" s="336">
        <f t="shared" ca="1" si="50"/>
        <v>0</v>
      </c>
      <c r="D242" s="335"/>
      <c r="E242" s="336">
        <f t="shared" ca="1" si="55"/>
        <v>0</v>
      </c>
      <c r="F242" s="336">
        <f t="shared" ca="1" si="47"/>
        <v>0</v>
      </c>
      <c r="G242" s="343">
        <f t="shared" ca="1" si="51"/>
        <v>0</v>
      </c>
      <c r="H242" s="336">
        <f t="shared" ca="1" si="52"/>
        <v>0</v>
      </c>
      <c r="I242" s="337">
        <f t="shared" ca="1" si="48"/>
        <v>0</v>
      </c>
    </row>
    <row r="243" spans="1:9">
      <c r="A243" s="335">
        <f t="shared" si="49"/>
        <v>226</v>
      </c>
      <c r="B243" s="340">
        <f t="shared" si="53"/>
        <v>53144</v>
      </c>
      <c r="C243" s="336">
        <f t="shared" ca="1" si="50"/>
        <v>0</v>
      </c>
      <c r="D243" s="335"/>
      <c r="E243" s="336">
        <f t="shared" ca="1" si="55"/>
        <v>0</v>
      </c>
      <c r="F243" s="336">
        <f t="shared" ca="1" si="47"/>
        <v>0</v>
      </c>
      <c r="G243" s="343">
        <f t="shared" ca="1" si="51"/>
        <v>0</v>
      </c>
      <c r="H243" s="336">
        <f t="shared" ca="1" si="52"/>
        <v>0</v>
      </c>
      <c r="I243" s="337">
        <f t="shared" ca="1" si="48"/>
        <v>0</v>
      </c>
    </row>
    <row r="244" spans="1:9">
      <c r="A244" s="335">
        <f t="shared" si="49"/>
        <v>227</v>
      </c>
      <c r="B244" s="340">
        <f t="shared" si="53"/>
        <v>53175</v>
      </c>
      <c r="C244" s="336">
        <f t="shared" ca="1" si="50"/>
        <v>0</v>
      </c>
      <c r="D244" s="335"/>
      <c r="E244" s="336">
        <f t="shared" ca="1" si="55"/>
        <v>0</v>
      </c>
      <c r="F244" s="336">
        <f t="shared" ca="1" si="47"/>
        <v>0</v>
      </c>
      <c r="G244" s="343">
        <f t="shared" ca="1" si="51"/>
        <v>0</v>
      </c>
      <c r="H244" s="336">
        <f t="shared" ca="1" si="52"/>
        <v>0</v>
      </c>
      <c r="I244" s="337">
        <f t="shared" ca="1" si="48"/>
        <v>0</v>
      </c>
    </row>
    <row r="245" spans="1:9">
      <c r="A245" s="335">
        <f t="shared" si="49"/>
        <v>228</v>
      </c>
      <c r="B245" s="340">
        <f t="shared" si="53"/>
        <v>53206</v>
      </c>
      <c r="C245" s="336">
        <f t="shared" ca="1" si="50"/>
        <v>0</v>
      </c>
      <c r="D245" s="336">
        <f ca="1">IF(H245&lt;0,0,(K36-L36)/11)</f>
        <v>182649.36363636365</v>
      </c>
      <c r="E245" s="336">
        <f t="shared" ca="1" si="55"/>
        <v>0</v>
      </c>
      <c r="F245" s="336">
        <f t="shared" ca="1" si="47"/>
        <v>0</v>
      </c>
      <c r="G245" s="343">
        <f t="shared" ca="1" si="51"/>
        <v>0</v>
      </c>
      <c r="H245" s="336">
        <f t="shared" ca="1" si="52"/>
        <v>0</v>
      </c>
      <c r="I245" s="337">
        <f t="shared" ca="1" si="48"/>
        <v>182649</v>
      </c>
    </row>
    <row r="246" spans="1:9">
      <c r="A246" s="335">
        <f t="shared" si="49"/>
        <v>229</v>
      </c>
      <c r="B246" s="340">
        <f t="shared" si="53"/>
        <v>53236</v>
      </c>
      <c r="C246" s="336">
        <f t="shared" ca="1" si="50"/>
        <v>0</v>
      </c>
      <c r="D246" s="336"/>
      <c r="E246" s="336">
        <f t="shared" ref="E246:E257" si="56">IF($D$10=1,
 IF(OR(MONTH(B246)=MONTH(EDATE($D$7,0)),MONTH(B246)=MONTH(EDATE($D$7,1)),MONTH(B246)=MONTH(EDATE($D$7,2)),MONTH(B246)=MONTH(EDATE($D$7,3)), MONTH(B246)=MONTH(EDATE($D$7,4)),MONTH(B246)=MONTH(EDATE($D$7,5)),MONTH(B246)=MONTH(EDATE($D$7,6)),MONTH(B246)=MONTH(EDATE($D$7,7)),MONTH(B246)=MONTH(EDATE($D$7,8)),MONTH(B246)=MONTH(EDATE($D$7,9)),MONTH(B246)=MONTH(EDATE($D$7,10))),(MIN( $D$245,H245)),0),
IF($D$10=0,
 IF(OR(MONTH(B246)=MONTH(EDATE($D$7,1)),MONTH(B246)=MONTH(EDATE($D$7,2)),MONTH(B246)=MONTH(EDATE($D$7,3)),MONTH(B246)=MONTH(EDATE($D$7,4)), MONTH(B246)=MONTH(EDATE($D$7,5)),MONTH(B246)=MONTH(EDATE($D$7,6)),MONTH(B246)=MONTH(EDATE($D$7,7)),MONTH(B246)=MONTH(EDATE($D$7,8)),MONTH(B246)=MONTH(EDATE($D$7,9)),MONTH(B246)=MONTH(EDATE($D$7,10)),MONTH(B246)=MONTH(EDATE($D$7,11))),(MIN( $D$245,H245)),0)))</f>
        <v>0</v>
      </c>
      <c r="F246" s="336">
        <f t="shared" ca="1" si="47"/>
        <v>0</v>
      </c>
      <c r="G246" s="343">
        <f t="shared" ca="1" si="51"/>
        <v>0</v>
      </c>
      <c r="H246" s="336">
        <f t="shared" ca="1" si="52"/>
        <v>0</v>
      </c>
      <c r="I246" s="337">
        <f t="shared" ca="1" si="48"/>
        <v>0</v>
      </c>
    </row>
    <row r="247" spans="1:9">
      <c r="A247" s="335">
        <f t="shared" si="49"/>
        <v>230</v>
      </c>
      <c r="B247" s="340">
        <f t="shared" si="53"/>
        <v>53267</v>
      </c>
      <c r="C247" s="336">
        <f t="shared" ca="1" si="50"/>
        <v>0</v>
      </c>
      <c r="D247" s="335"/>
      <c r="E247" s="336">
        <f t="shared" ca="1" si="56"/>
        <v>0</v>
      </c>
      <c r="F247" s="336">
        <f t="shared" ca="1" si="47"/>
        <v>0</v>
      </c>
      <c r="G247" s="343">
        <f t="shared" ca="1" si="51"/>
        <v>0</v>
      </c>
      <c r="H247" s="336">
        <f t="shared" ca="1" si="52"/>
        <v>0</v>
      </c>
      <c r="I247" s="337">
        <f t="shared" ca="1" si="48"/>
        <v>0</v>
      </c>
    </row>
    <row r="248" spans="1:9">
      <c r="A248" s="335">
        <f t="shared" si="49"/>
        <v>231</v>
      </c>
      <c r="B248" s="340">
        <f t="shared" si="53"/>
        <v>53297</v>
      </c>
      <c r="C248" s="336">
        <f t="shared" ca="1" si="50"/>
        <v>0</v>
      </c>
      <c r="D248" s="335"/>
      <c r="E248" s="336">
        <f t="shared" ca="1" si="56"/>
        <v>0</v>
      </c>
      <c r="F248" s="336">
        <f t="shared" ca="1" si="47"/>
        <v>0</v>
      </c>
      <c r="G248" s="343">
        <f t="shared" ca="1" si="51"/>
        <v>0</v>
      </c>
      <c r="H248" s="336">
        <f t="shared" ca="1" si="52"/>
        <v>0</v>
      </c>
      <c r="I248" s="337">
        <f t="shared" ca="1" si="48"/>
        <v>0</v>
      </c>
    </row>
    <row r="249" spans="1:9">
      <c r="A249" s="335">
        <f t="shared" si="49"/>
        <v>232</v>
      </c>
      <c r="B249" s="340">
        <f t="shared" si="53"/>
        <v>53328</v>
      </c>
      <c r="C249" s="336">
        <f t="shared" ca="1" si="50"/>
        <v>0</v>
      </c>
      <c r="D249" s="335"/>
      <c r="E249" s="336">
        <f t="shared" ca="1" si="56"/>
        <v>0</v>
      </c>
      <c r="F249" s="336">
        <f t="shared" ca="1" si="47"/>
        <v>0</v>
      </c>
      <c r="G249" s="343">
        <f t="shared" ca="1" si="51"/>
        <v>0</v>
      </c>
      <c r="H249" s="336">
        <f t="shared" ca="1" si="52"/>
        <v>0</v>
      </c>
      <c r="I249" s="337">
        <f t="shared" ca="1" si="48"/>
        <v>0</v>
      </c>
    </row>
    <row r="250" spans="1:9">
      <c r="A250" s="335">
        <f t="shared" si="49"/>
        <v>233</v>
      </c>
      <c r="B250" s="340">
        <f t="shared" si="53"/>
        <v>53359</v>
      </c>
      <c r="C250" s="336">
        <f t="shared" ca="1" si="50"/>
        <v>0</v>
      </c>
      <c r="D250" s="335"/>
      <c r="E250" s="336">
        <f t="shared" ca="1" si="56"/>
        <v>0</v>
      </c>
      <c r="F250" s="336">
        <f t="shared" ca="1" si="47"/>
        <v>0</v>
      </c>
      <c r="G250" s="343">
        <f t="shared" ca="1" si="51"/>
        <v>0</v>
      </c>
      <c r="H250" s="336">
        <f t="shared" ca="1" si="52"/>
        <v>0</v>
      </c>
      <c r="I250" s="337">
        <f t="shared" ca="1" si="48"/>
        <v>0</v>
      </c>
    </row>
    <row r="251" spans="1:9">
      <c r="A251" s="335">
        <f t="shared" si="49"/>
        <v>234</v>
      </c>
      <c r="B251" s="340">
        <f t="shared" si="53"/>
        <v>53387</v>
      </c>
      <c r="C251" s="336">
        <f t="shared" ca="1" si="50"/>
        <v>0</v>
      </c>
      <c r="D251" s="335"/>
      <c r="E251" s="336">
        <f t="shared" ca="1" si="56"/>
        <v>0</v>
      </c>
      <c r="F251" s="336">
        <f t="shared" ca="1" si="47"/>
        <v>0</v>
      </c>
      <c r="G251" s="343">
        <f t="shared" ca="1" si="51"/>
        <v>0</v>
      </c>
      <c r="H251" s="336">
        <f t="shared" ca="1" si="52"/>
        <v>0</v>
      </c>
      <c r="I251" s="337">
        <f t="shared" ca="1" si="48"/>
        <v>0</v>
      </c>
    </row>
    <row r="252" spans="1:9">
      <c r="A252" s="335">
        <f t="shared" si="49"/>
        <v>235</v>
      </c>
      <c r="B252" s="340">
        <f t="shared" si="53"/>
        <v>53418</v>
      </c>
      <c r="C252" s="336">
        <f t="shared" ca="1" si="50"/>
        <v>0</v>
      </c>
      <c r="D252" s="335"/>
      <c r="E252" s="336">
        <f t="shared" ca="1" si="56"/>
        <v>0</v>
      </c>
      <c r="F252" s="336">
        <f t="shared" ca="1" si="47"/>
        <v>0</v>
      </c>
      <c r="G252" s="343">
        <f t="shared" ca="1" si="51"/>
        <v>0</v>
      </c>
      <c r="H252" s="336">
        <f t="shared" ca="1" si="52"/>
        <v>0</v>
      </c>
      <c r="I252" s="337">
        <f t="shared" ca="1" si="48"/>
        <v>0</v>
      </c>
    </row>
    <row r="253" spans="1:9">
      <c r="A253" s="335">
        <f t="shared" si="49"/>
        <v>236</v>
      </c>
      <c r="B253" s="340">
        <f t="shared" si="53"/>
        <v>53448</v>
      </c>
      <c r="C253" s="336">
        <f t="shared" ca="1" si="50"/>
        <v>0</v>
      </c>
      <c r="D253" s="335"/>
      <c r="E253" s="336">
        <f t="shared" ca="1" si="56"/>
        <v>0</v>
      </c>
      <c r="F253" s="336">
        <f t="shared" ca="1" si="47"/>
        <v>0</v>
      </c>
      <c r="G253" s="343">
        <f t="shared" ca="1" si="51"/>
        <v>0</v>
      </c>
      <c r="H253" s="336">
        <f t="shared" ca="1" si="52"/>
        <v>0</v>
      </c>
      <c r="I253" s="337">
        <f t="shared" ca="1" si="48"/>
        <v>0</v>
      </c>
    </row>
    <row r="254" spans="1:9">
      <c r="A254" s="335">
        <f t="shared" si="49"/>
        <v>237</v>
      </c>
      <c r="B254" s="340">
        <f t="shared" si="53"/>
        <v>53479</v>
      </c>
      <c r="C254" s="336">
        <f t="shared" ca="1" si="50"/>
        <v>0</v>
      </c>
      <c r="D254" s="335"/>
      <c r="E254" s="336">
        <f t="shared" ca="1" si="56"/>
        <v>0</v>
      </c>
      <c r="F254" s="336">
        <f t="shared" ca="1" si="47"/>
        <v>0</v>
      </c>
      <c r="G254" s="343">
        <f t="shared" ca="1" si="51"/>
        <v>0</v>
      </c>
      <c r="H254" s="336">
        <f t="shared" ca="1" si="52"/>
        <v>0</v>
      </c>
      <c r="I254" s="337">
        <f t="shared" ca="1" si="48"/>
        <v>0</v>
      </c>
    </row>
    <row r="255" spans="1:9">
      <c r="A255" s="335">
        <f t="shared" si="49"/>
        <v>238</v>
      </c>
      <c r="B255" s="340">
        <f t="shared" si="53"/>
        <v>53509</v>
      </c>
      <c r="C255" s="336">
        <f t="shared" ca="1" si="50"/>
        <v>0</v>
      </c>
      <c r="D255" s="335"/>
      <c r="E255" s="336">
        <f t="shared" ca="1" si="56"/>
        <v>0</v>
      </c>
      <c r="F255" s="336">
        <f t="shared" ca="1" si="47"/>
        <v>0</v>
      </c>
      <c r="G255" s="343">
        <f t="shared" ca="1" si="51"/>
        <v>0</v>
      </c>
      <c r="H255" s="336">
        <f t="shared" ca="1" si="52"/>
        <v>0</v>
      </c>
      <c r="I255" s="337">
        <f t="shared" ca="1" si="48"/>
        <v>0</v>
      </c>
    </row>
    <row r="256" spans="1:9">
      <c r="A256" s="335">
        <f t="shared" si="49"/>
        <v>239</v>
      </c>
      <c r="B256" s="340">
        <f t="shared" si="53"/>
        <v>53540</v>
      </c>
      <c r="C256" s="336">
        <f t="shared" ca="1" si="50"/>
        <v>0</v>
      </c>
      <c r="D256" s="335"/>
      <c r="E256" s="336">
        <f t="shared" ca="1" si="56"/>
        <v>0</v>
      </c>
      <c r="F256" s="336">
        <f t="shared" ca="1" si="47"/>
        <v>0</v>
      </c>
      <c r="G256" s="343">
        <f t="shared" ca="1" si="51"/>
        <v>0</v>
      </c>
      <c r="H256" s="336">
        <f t="shared" ca="1" si="52"/>
        <v>0</v>
      </c>
      <c r="I256" s="337">
        <f t="shared" ca="1" si="48"/>
        <v>0</v>
      </c>
    </row>
    <row r="257" spans="1:9">
      <c r="A257" s="335">
        <f t="shared" si="49"/>
        <v>240</v>
      </c>
      <c r="B257" s="340">
        <f t="shared" si="53"/>
        <v>53571</v>
      </c>
      <c r="C257" s="336">
        <f t="shared" ca="1" si="50"/>
        <v>0</v>
      </c>
      <c r="D257" s="336">
        <f ca="1">IF(H257&lt;0,0,(K37-L37)/11)</f>
        <v>186649.90909090909</v>
      </c>
      <c r="E257" s="336">
        <f t="shared" ca="1" si="56"/>
        <v>0</v>
      </c>
      <c r="F257" s="336">
        <f t="shared" ca="1" si="47"/>
        <v>0</v>
      </c>
      <c r="G257" s="343">
        <f t="shared" ca="1" si="51"/>
        <v>0</v>
      </c>
      <c r="H257" s="336">
        <f t="shared" ca="1" si="52"/>
        <v>0</v>
      </c>
      <c r="I257" s="337">
        <f t="shared" ca="1" si="48"/>
        <v>186650</v>
      </c>
    </row>
    <row r="258" spans="1:9">
      <c r="A258" s="335">
        <f t="shared" si="49"/>
        <v>241</v>
      </c>
      <c r="B258" s="340">
        <f t="shared" si="53"/>
        <v>53601</v>
      </c>
      <c r="C258" s="336">
        <f t="shared" ca="1" si="50"/>
        <v>0</v>
      </c>
      <c r="D258" s="336"/>
      <c r="E258" s="336">
        <f t="shared" ref="E258:E269" si="57">IF($D$10=1,
 IF(OR(MONTH(B258)=MONTH(EDATE($D$7,0)),MONTH(B258)=MONTH(EDATE($D$7,1)),MONTH(B258)=MONTH(EDATE($D$7,2)),MONTH(B258)=MONTH(EDATE($D$7,3)), MONTH(B258)=MONTH(EDATE($D$7,4)),MONTH(B258)=MONTH(EDATE($D$7,5)),MONTH(B258)=MONTH(EDATE($D$7,6)),MONTH(B258)=MONTH(EDATE($D$7,7)),MONTH(B258)=MONTH(EDATE($D$7,8)),MONTH(B258)=MONTH(EDATE($D$7,9)),MONTH(B258)=MONTH(EDATE($D$7,10))),(MIN( $D$257,H257)),0),
IF($D$10=0,
 IF(OR(MONTH(B258)=MONTH(EDATE($D$7,1)),MONTH(B258)=MONTH(EDATE($D$7,2)),MONTH(B258)=MONTH(EDATE($D$7,3)),MONTH(B258)=MONTH(EDATE($D$7,4)), MONTH(B258)=MONTH(EDATE($D$7,5)),MONTH(B258)=MONTH(EDATE($D$7,6)),MONTH(B258)=MONTH(EDATE($D$7,7)),MONTH(B258)=MONTH(EDATE($D$7,8)),MONTH(B258)=MONTH(EDATE($D$7,9)),MONTH(B258)=MONTH(EDATE($D$7,10)),MONTH(B258)=MONTH(EDATE($D$7,11))),(MIN( $D$257,H257)),0)))</f>
        <v>0</v>
      </c>
      <c r="F258" s="336">
        <f t="shared" ca="1" si="47"/>
        <v>0</v>
      </c>
      <c r="G258" s="343">
        <f t="shared" ca="1" si="51"/>
        <v>0</v>
      </c>
      <c r="H258" s="336">
        <f t="shared" ca="1" si="52"/>
        <v>0</v>
      </c>
      <c r="I258" s="337">
        <f t="shared" ca="1" si="48"/>
        <v>0</v>
      </c>
    </row>
    <row r="259" spans="1:9">
      <c r="A259" s="335">
        <f t="shared" si="49"/>
        <v>242</v>
      </c>
      <c r="B259" s="340">
        <f t="shared" si="53"/>
        <v>53632</v>
      </c>
      <c r="C259" s="336">
        <f t="shared" ca="1" si="50"/>
        <v>0</v>
      </c>
      <c r="D259" s="335"/>
      <c r="E259" s="336">
        <f t="shared" ca="1" si="57"/>
        <v>0</v>
      </c>
      <c r="F259" s="336">
        <f t="shared" ca="1" si="47"/>
        <v>0</v>
      </c>
      <c r="G259" s="343">
        <f t="shared" ca="1" si="51"/>
        <v>0</v>
      </c>
      <c r="H259" s="336">
        <f t="shared" ca="1" si="52"/>
        <v>0</v>
      </c>
      <c r="I259" s="337">
        <f t="shared" ca="1" si="48"/>
        <v>0</v>
      </c>
    </row>
    <row r="260" spans="1:9">
      <c r="A260" s="335">
        <f t="shared" si="49"/>
        <v>243</v>
      </c>
      <c r="B260" s="340">
        <f t="shared" si="53"/>
        <v>53662</v>
      </c>
      <c r="C260" s="336">
        <f t="shared" ca="1" si="50"/>
        <v>0</v>
      </c>
      <c r="D260" s="335"/>
      <c r="E260" s="336">
        <f t="shared" ca="1" si="57"/>
        <v>0</v>
      </c>
      <c r="F260" s="336">
        <f t="shared" ca="1" si="47"/>
        <v>0</v>
      </c>
      <c r="G260" s="343">
        <f t="shared" ca="1" si="51"/>
        <v>0</v>
      </c>
      <c r="H260" s="336">
        <f t="shared" ca="1" si="52"/>
        <v>0</v>
      </c>
      <c r="I260" s="337">
        <f t="shared" ca="1" si="48"/>
        <v>0</v>
      </c>
    </row>
    <row r="261" spans="1:9">
      <c r="A261" s="335">
        <f t="shared" si="49"/>
        <v>244</v>
      </c>
      <c r="B261" s="340">
        <f t="shared" si="53"/>
        <v>53693</v>
      </c>
      <c r="C261" s="336">
        <f t="shared" ca="1" si="50"/>
        <v>0</v>
      </c>
      <c r="D261" s="335"/>
      <c r="E261" s="336">
        <f t="shared" ca="1" si="57"/>
        <v>0</v>
      </c>
      <c r="F261" s="336">
        <f t="shared" ca="1" si="47"/>
        <v>0</v>
      </c>
      <c r="G261" s="343">
        <f t="shared" ca="1" si="51"/>
        <v>0</v>
      </c>
      <c r="H261" s="336">
        <f t="shared" ca="1" si="52"/>
        <v>0</v>
      </c>
      <c r="I261" s="337">
        <f t="shared" ca="1" si="48"/>
        <v>0</v>
      </c>
    </row>
    <row r="262" spans="1:9">
      <c r="A262" s="335">
        <f t="shared" si="49"/>
        <v>245</v>
      </c>
      <c r="B262" s="340">
        <f t="shared" si="53"/>
        <v>53724</v>
      </c>
      <c r="C262" s="336">
        <f t="shared" ca="1" si="50"/>
        <v>0</v>
      </c>
      <c r="D262" s="335"/>
      <c r="E262" s="336">
        <f t="shared" ca="1" si="57"/>
        <v>0</v>
      </c>
      <c r="F262" s="336">
        <f t="shared" ca="1" si="47"/>
        <v>0</v>
      </c>
      <c r="G262" s="343">
        <f t="shared" ca="1" si="51"/>
        <v>0</v>
      </c>
      <c r="H262" s="336">
        <f t="shared" ca="1" si="52"/>
        <v>0</v>
      </c>
      <c r="I262" s="337">
        <f t="shared" ca="1" si="48"/>
        <v>0</v>
      </c>
    </row>
    <row r="263" spans="1:9">
      <c r="A263" s="335">
        <f t="shared" si="49"/>
        <v>246</v>
      </c>
      <c r="B263" s="340">
        <f t="shared" si="53"/>
        <v>53752</v>
      </c>
      <c r="C263" s="336">
        <f t="shared" ca="1" si="50"/>
        <v>0</v>
      </c>
      <c r="D263" s="335"/>
      <c r="E263" s="336">
        <f t="shared" ca="1" si="57"/>
        <v>0</v>
      </c>
      <c r="F263" s="336">
        <f t="shared" ca="1" si="47"/>
        <v>0</v>
      </c>
      <c r="G263" s="343">
        <f t="shared" ca="1" si="51"/>
        <v>0</v>
      </c>
      <c r="H263" s="336">
        <f t="shared" ca="1" si="52"/>
        <v>0</v>
      </c>
      <c r="I263" s="337">
        <f t="shared" ca="1" si="48"/>
        <v>0</v>
      </c>
    </row>
    <row r="264" spans="1:9">
      <c r="A264" s="335">
        <f t="shared" si="49"/>
        <v>247</v>
      </c>
      <c r="B264" s="340">
        <f t="shared" si="53"/>
        <v>53783</v>
      </c>
      <c r="C264" s="336">
        <f t="shared" ca="1" si="50"/>
        <v>0</v>
      </c>
      <c r="D264" s="335"/>
      <c r="E264" s="336">
        <f t="shared" ca="1" si="57"/>
        <v>0</v>
      </c>
      <c r="F264" s="336">
        <f t="shared" ca="1" si="47"/>
        <v>0</v>
      </c>
      <c r="G264" s="343">
        <f t="shared" ca="1" si="51"/>
        <v>0</v>
      </c>
      <c r="H264" s="336">
        <f t="shared" ca="1" si="52"/>
        <v>0</v>
      </c>
      <c r="I264" s="337">
        <f t="shared" ca="1" si="48"/>
        <v>0</v>
      </c>
    </row>
    <row r="265" spans="1:9">
      <c r="A265" s="335">
        <f t="shared" si="49"/>
        <v>248</v>
      </c>
      <c r="B265" s="340">
        <f t="shared" si="53"/>
        <v>53813</v>
      </c>
      <c r="C265" s="336">
        <f t="shared" ca="1" si="50"/>
        <v>0</v>
      </c>
      <c r="D265" s="335"/>
      <c r="E265" s="336">
        <f t="shared" ca="1" si="57"/>
        <v>0</v>
      </c>
      <c r="F265" s="336">
        <f t="shared" ca="1" si="47"/>
        <v>0</v>
      </c>
      <c r="G265" s="343">
        <f t="shared" ca="1" si="51"/>
        <v>0</v>
      </c>
      <c r="H265" s="336">
        <f t="shared" ca="1" si="52"/>
        <v>0</v>
      </c>
      <c r="I265" s="337">
        <f t="shared" ca="1" si="48"/>
        <v>0</v>
      </c>
    </row>
    <row r="266" spans="1:9">
      <c r="A266" s="335">
        <f t="shared" si="49"/>
        <v>249</v>
      </c>
      <c r="B266" s="340">
        <f t="shared" si="53"/>
        <v>53844</v>
      </c>
      <c r="C266" s="336">
        <f t="shared" ca="1" si="50"/>
        <v>0</v>
      </c>
      <c r="D266" s="335"/>
      <c r="E266" s="336">
        <f t="shared" ca="1" si="57"/>
        <v>0</v>
      </c>
      <c r="F266" s="336">
        <f t="shared" ca="1" si="47"/>
        <v>0</v>
      </c>
      <c r="G266" s="343">
        <f t="shared" ca="1" si="51"/>
        <v>0</v>
      </c>
      <c r="H266" s="336">
        <f t="shared" ca="1" si="52"/>
        <v>0</v>
      </c>
      <c r="I266" s="337">
        <f t="shared" ca="1" si="48"/>
        <v>0</v>
      </c>
    </row>
    <row r="267" spans="1:9">
      <c r="A267" s="335">
        <f t="shared" si="49"/>
        <v>250</v>
      </c>
      <c r="B267" s="340">
        <f t="shared" si="53"/>
        <v>53874</v>
      </c>
      <c r="C267" s="336">
        <f t="shared" ca="1" si="50"/>
        <v>0</v>
      </c>
      <c r="D267" s="335"/>
      <c r="E267" s="336">
        <f t="shared" ca="1" si="57"/>
        <v>0</v>
      </c>
      <c r="F267" s="336">
        <f t="shared" ca="1" si="47"/>
        <v>0</v>
      </c>
      <c r="G267" s="343">
        <f t="shared" ca="1" si="51"/>
        <v>0</v>
      </c>
      <c r="H267" s="336">
        <f t="shared" ca="1" si="52"/>
        <v>0</v>
      </c>
      <c r="I267" s="337">
        <f t="shared" ca="1" si="48"/>
        <v>0</v>
      </c>
    </row>
    <row r="268" spans="1:9">
      <c r="A268" s="335">
        <f t="shared" si="49"/>
        <v>251</v>
      </c>
      <c r="B268" s="340">
        <f t="shared" si="53"/>
        <v>53905</v>
      </c>
      <c r="C268" s="336">
        <f t="shared" ca="1" si="50"/>
        <v>0</v>
      </c>
      <c r="D268" s="335"/>
      <c r="E268" s="336">
        <f t="shared" ca="1" si="57"/>
        <v>0</v>
      </c>
      <c r="F268" s="336">
        <f t="shared" ca="1" si="47"/>
        <v>0</v>
      </c>
      <c r="G268" s="343">
        <f t="shared" ca="1" si="51"/>
        <v>0</v>
      </c>
      <c r="H268" s="336">
        <f t="shared" ca="1" si="52"/>
        <v>0</v>
      </c>
      <c r="I268" s="337">
        <f t="shared" ca="1" si="48"/>
        <v>0</v>
      </c>
    </row>
    <row r="269" spans="1:9">
      <c r="A269" s="335">
        <f t="shared" si="49"/>
        <v>252</v>
      </c>
      <c r="B269" s="340">
        <f t="shared" si="53"/>
        <v>53936</v>
      </c>
      <c r="C269" s="336">
        <f t="shared" ca="1" si="50"/>
        <v>0</v>
      </c>
      <c r="D269" s="336">
        <f ca="1">IF(H269&lt;0,0,(K38-L38)/11)</f>
        <v>190760.63636363635</v>
      </c>
      <c r="E269" s="336">
        <f t="shared" ca="1" si="57"/>
        <v>0</v>
      </c>
      <c r="F269" s="336">
        <f t="shared" ca="1" si="47"/>
        <v>0</v>
      </c>
      <c r="G269" s="343">
        <f t="shared" ca="1" si="51"/>
        <v>0</v>
      </c>
      <c r="H269" s="336">
        <f t="shared" ca="1" si="52"/>
        <v>0</v>
      </c>
      <c r="I269" s="337">
        <f t="shared" ca="1" si="48"/>
        <v>190761</v>
      </c>
    </row>
    <row r="270" spans="1:9">
      <c r="A270" s="335">
        <f t="shared" si="49"/>
        <v>253</v>
      </c>
      <c r="B270" s="340">
        <f t="shared" si="53"/>
        <v>53966</v>
      </c>
      <c r="C270" s="336">
        <f t="shared" ca="1" si="50"/>
        <v>0</v>
      </c>
      <c r="D270" s="336"/>
      <c r="E270" s="336">
        <f t="shared" ref="E270:E281" si="58">IF($D$10=1,
 IF(OR(MONTH(B270)=MONTH(EDATE($D$7,0)),MONTH(B270)=MONTH(EDATE($D$7,1)),MONTH(B270)=MONTH(EDATE($D$7,2)),MONTH(B270)=MONTH(EDATE($D$7,3)), MONTH(B270)=MONTH(EDATE($D$7,4)),MONTH(B270)=MONTH(EDATE($D$7,5)),MONTH(B270)=MONTH(EDATE($D$7,6)),MONTH(B270)=MONTH(EDATE($D$7,7)),MONTH(B270)=MONTH(EDATE($D$7,8)),MONTH(B270)=MONTH(EDATE($D$7,9)),MONTH(B270)=MONTH(EDATE($D$7,10))),(MIN( $D$269,H269)),0),
IF($D$10=0,
 IF(OR(MONTH(B270)=MONTH(EDATE($D$7,1)),MONTH(B270)=MONTH(EDATE($D$7,2)),MONTH(B270)=MONTH(EDATE($D$7,3)),MONTH(B270)=MONTH(EDATE($D$7,4)), MONTH(B270)=MONTH(EDATE($D$7,5)),MONTH(B270)=MONTH(EDATE($D$7,6)),MONTH(B270)=MONTH(EDATE($D$7,7)),MONTH(B270)=MONTH(EDATE($D$7,8)),MONTH(B270)=MONTH(EDATE($D$7,9)),MONTH(B270)=MONTH(EDATE($D$7,10)),MONTH(B270)=MONTH(EDATE($D$7,11))),(MIN( $D$269,H269)),0)))</f>
        <v>0</v>
      </c>
      <c r="F270" s="336">
        <f t="shared" ca="1" si="47"/>
        <v>0</v>
      </c>
      <c r="G270" s="343">
        <f t="shared" ca="1" si="51"/>
        <v>0</v>
      </c>
      <c r="H270" s="336">
        <f t="shared" ca="1" si="52"/>
        <v>0</v>
      </c>
      <c r="I270" s="337">
        <f t="shared" ca="1" si="48"/>
        <v>0</v>
      </c>
    </row>
    <row r="271" spans="1:9">
      <c r="A271" s="335">
        <f t="shared" si="49"/>
        <v>254</v>
      </c>
      <c r="B271" s="340">
        <f t="shared" si="53"/>
        <v>53997</v>
      </c>
      <c r="C271" s="336">
        <f t="shared" ca="1" si="50"/>
        <v>0</v>
      </c>
      <c r="D271" s="335"/>
      <c r="E271" s="336">
        <f t="shared" ca="1" si="58"/>
        <v>0</v>
      </c>
      <c r="F271" s="336">
        <f t="shared" ca="1" si="47"/>
        <v>0</v>
      </c>
      <c r="G271" s="343">
        <f t="shared" ca="1" si="51"/>
        <v>0</v>
      </c>
      <c r="H271" s="336">
        <f t="shared" ca="1" si="52"/>
        <v>0</v>
      </c>
      <c r="I271" s="337">
        <f t="shared" ca="1" si="48"/>
        <v>0</v>
      </c>
    </row>
    <row r="272" spans="1:9">
      <c r="A272" s="335">
        <f t="shared" si="49"/>
        <v>255</v>
      </c>
      <c r="B272" s="340">
        <f t="shared" si="53"/>
        <v>54027</v>
      </c>
      <c r="C272" s="336">
        <f t="shared" ca="1" si="50"/>
        <v>0</v>
      </c>
      <c r="D272" s="335"/>
      <c r="E272" s="336">
        <f t="shared" ca="1" si="58"/>
        <v>0</v>
      </c>
      <c r="F272" s="336">
        <f t="shared" ca="1" si="47"/>
        <v>0</v>
      </c>
      <c r="G272" s="343">
        <f t="shared" ca="1" si="51"/>
        <v>0</v>
      </c>
      <c r="H272" s="336">
        <f t="shared" ca="1" si="52"/>
        <v>0</v>
      </c>
      <c r="I272" s="337">
        <f t="shared" ca="1" si="48"/>
        <v>0</v>
      </c>
    </row>
    <row r="273" spans="1:9">
      <c r="A273" s="335">
        <f t="shared" si="49"/>
        <v>256</v>
      </c>
      <c r="B273" s="340">
        <f t="shared" si="53"/>
        <v>54058</v>
      </c>
      <c r="C273" s="336">
        <f t="shared" ca="1" si="50"/>
        <v>0</v>
      </c>
      <c r="D273" s="335"/>
      <c r="E273" s="336">
        <f t="shared" ca="1" si="58"/>
        <v>0</v>
      </c>
      <c r="F273" s="336">
        <f t="shared" ca="1" si="47"/>
        <v>0</v>
      </c>
      <c r="G273" s="343">
        <f t="shared" ca="1" si="51"/>
        <v>0</v>
      </c>
      <c r="H273" s="336">
        <f t="shared" ca="1" si="52"/>
        <v>0</v>
      </c>
      <c r="I273" s="337">
        <f t="shared" ca="1" si="48"/>
        <v>0</v>
      </c>
    </row>
    <row r="274" spans="1:9">
      <c r="A274" s="335">
        <f t="shared" si="49"/>
        <v>257</v>
      </c>
      <c r="B274" s="340">
        <f t="shared" si="53"/>
        <v>54089</v>
      </c>
      <c r="C274" s="336">
        <f t="shared" ca="1" si="50"/>
        <v>0</v>
      </c>
      <c r="D274" s="335"/>
      <c r="E274" s="336">
        <f t="shared" ca="1" si="58"/>
        <v>0</v>
      </c>
      <c r="F274" s="336">
        <f t="shared" ref="F274:F317" ca="1" si="59">IF(E274="","",E274-G274)</f>
        <v>0</v>
      </c>
      <c r="G274" s="343">
        <f t="shared" ca="1" si="51"/>
        <v>0</v>
      </c>
      <c r="H274" s="336">
        <f t="shared" ca="1" si="52"/>
        <v>0</v>
      </c>
      <c r="I274" s="337">
        <f t="shared" ref="I274:I317" ca="1" si="60">ROUND((D274-H274),0)</f>
        <v>0</v>
      </c>
    </row>
    <row r="275" spans="1:9">
      <c r="A275" s="335">
        <f t="shared" ref="A275:A338" si="61">IF(A274="","",IF(A274=$D$6,"",A274+1))</f>
        <v>258</v>
      </c>
      <c r="B275" s="340">
        <f t="shared" si="53"/>
        <v>54118</v>
      </c>
      <c r="C275" s="336">
        <f t="shared" ref="C275:C317" ca="1" si="62">IF(H274=0,0,H274)</f>
        <v>0</v>
      </c>
      <c r="D275" s="335"/>
      <c r="E275" s="336">
        <f t="shared" ca="1" si="58"/>
        <v>0</v>
      </c>
      <c r="F275" s="336">
        <f t="shared" ca="1" si="59"/>
        <v>0</v>
      </c>
      <c r="G275" s="343">
        <f t="shared" ref="G275:G317" ca="1" si="63">ROUND((C275-E275)*$D$5,3)</f>
        <v>0</v>
      </c>
      <c r="H275" s="336">
        <f t="shared" ref="H275:H317" ca="1" si="64">IF(E275="","",ROUND(H274-F275,4))</f>
        <v>0</v>
      </c>
      <c r="I275" s="337">
        <f t="shared" ca="1" si="60"/>
        <v>0</v>
      </c>
    </row>
    <row r="276" spans="1:9">
      <c r="A276" s="335">
        <f t="shared" si="61"/>
        <v>259</v>
      </c>
      <c r="B276" s="340">
        <f t="shared" ref="B276:B339" si="65">DATE(YEAR(B275),MONTH(B275)+1,1)</f>
        <v>54149</v>
      </c>
      <c r="C276" s="336">
        <f t="shared" ca="1" si="62"/>
        <v>0</v>
      </c>
      <c r="D276" s="335"/>
      <c r="E276" s="336">
        <f t="shared" ca="1" si="58"/>
        <v>0</v>
      </c>
      <c r="F276" s="336">
        <f t="shared" ca="1" si="59"/>
        <v>0</v>
      </c>
      <c r="G276" s="343">
        <f t="shared" ca="1" si="63"/>
        <v>0</v>
      </c>
      <c r="H276" s="336">
        <f t="shared" ca="1" si="64"/>
        <v>0</v>
      </c>
      <c r="I276" s="337">
        <f t="shared" ca="1" si="60"/>
        <v>0</v>
      </c>
    </row>
    <row r="277" spans="1:9">
      <c r="A277" s="335">
        <f t="shared" si="61"/>
        <v>260</v>
      </c>
      <c r="B277" s="340">
        <f t="shared" si="65"/>
        <v>54179</v>
      </c>
      <c r="C277" s="336">
        <f t="shared" ca="1" si="62"/>
        <v>0</v>
      </c>
      <c r="D277" s="335"/>
      <c r="E277" s="336">
        <f t="shared" ca="1" si="58"/>
        <v>0</v>
      </c>
      <c r="F277" s="336">
        <f t="shared" ca="1" si="59"/>
        <v>0</v>
      </c>
      <c r="G277" s="343">
        <f t="shared" ca="1" si="63"/>
        <v>0</v>
      </c>
      <c r="H277" s="336">
        <f t="shared" ca="1" si="64"/>
        <v>0</v>
      </c>
      <c r="I277" s="337">
        <f t="shared" ca="1" si="60"/>
        <v>0</v>
      </c>
    </row>
    <row r="278" spans="1:9">
      <c r="A278" s="335">
        <f t="shared" si="61"/>
        <v>261</v>
      </c>
      <c r="B278" s="340">
        <f t="shared" si="65"/>
        <v>54210</v>
      </c>
      <c r="C278" s="336">
        <f t="shared" ca="1" si="62"/>
        <v>0</v>
      </c>
      <c r="D278" s="335"/>
      <c r="E278" s="336">
        <f t="shared" ca="1" si="58"/>
        <v>0</v>
      </c>
      <c r="F278" s="336">
        <f t="shared" ca="1" si="59"/>
        <v>0</v>
      </c>
      <c r="G278" s="343">
        <f t="shared" ca="1" si="63"/>
        <v>0</v>
      </c>
      <c r="H278" s="336">
        <f t="shared" ca="1" si="64"/>
        <v>0</v>
      </c>
      <c r="I278" s="337">
        <f t="shared" ca="1" si="60"/>
        <v>0</v>
      </c>
    </row>
    <row r="279" spans="1:9">
      <c r="A279" s="335">
        <f t="shared" si="61"/>
        <v>262</v>
      </c>
      <c r="B279" s="340">
        <f t="shared" si="65"/>
        <v>54240</v>
      </c>
      <c r="C279" s="336">
        <f t="shared" ca="1" si="62"/>
        <v>0</v>
      </c>
      <c r="D279" s="335"/>
      <c r="E279" s="336">
        <f t="shared" ca="1" si="58"/>
        <v>0</v>
      </c>
      <c r="F279" s="336">
        <f t="shared" ca="1" si="59"/>
        <v>0</v>
      </c>
      <c r="G279" s="343">
        <f t="shared" ca="1" si="63"/>
        <v>0</v>
      </c>
      <c r="H279" s="336">
        <f t="shared" ca="1" si="64"/>
        <v>0</v>
      </c>
      <c r="I279" s="337">
        <f t="shared" ca="1" si="60"/>
        <v>0</v>
      </c>
    </row>
    <row r="280" spans="1:9">
      <c r="A280" s="335">
        <f t="shared" si="61"/>
        <v>263</v>
      </c>
      <c r="B280" s="340">
        <f t="shared" si="65"/>
        <v>54271</v>
      </c>
      <c r="C280" s="336">
        <f t="shared" ca="1" si="62"/>
        <v>0</v>
      </c>
      <c r="D280" s="335"/>
      <c r="E280" s="336">
        <f t="shared" ca="1" si="58"/>
        <v>0</v>
      </c>
      <c r="F280" s="336">
        <f t="shared" ca="1" si="59"/>
        <v>0</v>
      </c>
      <c r="G280" s="343">
        <f t="shared" ca="1" si="63"/>
        <v>0</v>
      </c>
      <c r="H280" s="336">
        <f t="shared" ca="1" si="64"/>
        <v>0</v>
      </c>
      <c r="I280" s="337">
        <f t="shared" ca="1" si="60"/>
        <v>0</v>
      </c>
    </row>
    <row r="281" spans="1:9">
      <c r="A281" s="335">
        <f t="shared" si="61"/>
        <v>264</v>
      </c>
      <c r="B281" s="340">
        <f t="shared" si="65"/>
        <v>54302</v>
      </c>
      <c r="C281" s="336">
        <f t="shared" ca="1" si="62"/>
        <v>0</v>
      </c>
      <c r="D281" s="336">
        <f ca="1">IF(H281&lt;0,0,(K39-L39)/11)</f>
        <v>194984.81818181818</v>
      </c>
      <c r="E281" s="336">
        <f t="shared" ca="1" si="58"/>
        <v>0</v>
      </c>
      <c r="F281" s="336">
        <f t="shared" ca="1" si="59"/>
        <v>0</v>
      </c>
      <c r="G281" s="343">
        <f t="shared" ca="1" si="63"/>
        <v>0</v>
      </c>
      <c r="H281" s="336">
        <f t="shared" ca="1" si="64"/>
        <v>0</v>
      </c>
      <c r="I281" s="337">
        <f t="shared" ca="1" si="60"/>
        <v>194985</v>
      </c>
    </row>
    <row r="282" spans="1:9">
      <c r="A282" s="335">
        <f t="shared" si="61"/>
        <v>265</v>
      </c>
      <c r="B282" s="340">
        <f t="shared" si="65"/>
        <v>54332</v>
      </c>
      <c r="C282" s="336">
        <f t="shared" ca="1" si="62"/>
        <v>0</v>
      </c>
      <c r="D282" s="336"/>
      <c r="E282" s="336">
        <f t="shared" ref="E282:E293" si="66">IF($D$10=1,
 IF(OR(MONTH(B282)=MONTH(EDATE($D$7,0)),MONTH(B282)=MONTH(EDATE($D$7,1)),MONTH(B282)=MONTH(EDATE($D$7,2)),MONTH(B282)=MONTH(EDATE($D$7,3)), MONTH(B282)=MONTH(EDATE($D$7,4)),MONTH(B282)=MONTH(EDATE($D$7,5)),MONTH(B282)=MONTH(EDATE($D$7,6)),MONTH(B282)=MONTH(EDATE($D$7,7)),MONTH(B282)=MONTH(EDATE($D$7,8)),MONTH(B282)=MONTH(EDATE($D$7,9)),MONTH(B282)=MONTH(EDATE($D$7,10))),(MIN( $D$281,H281)),0),
IF($D$10=0,
 IF(OR(MONTH(B282)=MONTH(EDATE($D$7,1)),MONTH(B282)=MONTH(EDATE($D$7,2)),MONTH(B282)=MONTH(EDATE($D$7,3)),MONTH(B282)=MONTH(EDATE($D$7,4)), MONTH(B282)=MONTH(EDATE($D$7,5)),MONTH(B282)=MONTH(EDATE($D$7,6)),MONTH(B282)=MONTH(EDATE($D$7,7)),MONTH(B282)=MONTH(EDATE($D$7,8)),MONTH(B282)=MONTH(EDATE($D$7,9)),MONTH(B282)=MONTH(EDATE($D$7,10)),MONTH(B282)=MONTH(EDATE($D$7,11))),(MIN( $D$281,H281)),0)))</f>
        <v>0</v>
      </c>
      <c r="F282" s="336">
        <f t="shared" ca="1" si="59"/>
        <v>0</v>
      </c>
      <c r="G282" s="343">
        <f t="shared" ca="1" si="63"/>
        <v>0</v>
      </c>
      <c r="H282" s="336">
        <f t="shared" ca="1" si="64"/>
        <v>0</v>
      </c>
      <c r="I282" s="337">
        <f t="shared" ca="1" si="60"/>
        <v>0</v>
      </c>
    </row>
    <row r="283" spans="1:9">
      <c r="A283" s="335">
        <f t="shared" si="61"/>
        <v>266</v>
      </c>
      <c r="B283" s="340">
        <f t="shared" si="65"/>
        <v>54363</v>
      </c>
      <c r="C283" s="336">
        <f t="shared" ca="1" si="62"/>
        <v>0</v>
      </c>
      <c r="D283" s="335"/>
      <c r="E283" s="336">
        <f t="shared" ca="1" si="66"/>
        <v>0</v>
      </c>
      <c r="F283" s="336">
        <f t="shared" ca="1" si="59"/>
        <v>0</v>
      </c>
      <c r="G283" s="343">
        <f t="shared" ca="1" si="63"/>
        <v>0</v>
      </c>
      <c r="H283" s="336">
        <f t="shared" ca="1" si="64"/>
        <v>0</v>
      </c>
      <c r="I283" s="337">
        <f t="shared" ca="1" si="60"/>
        <v>0</v>
      </c>
    </row>
    <row r="284" spans="1:9">
      <c r="A284" s="335">
        <f t="shared" si="61"/>
        <v>267</v>
      </c>
      <c r="B284" s="340">
        <f t="shared" si="65"/>
        <v>54393</v>
      </c>
      <c r="C284" s="336">
        <f t="shared" ca="1" si="62"/>
        <v>0</v>
      </c>
      <c r="D284" s="335"/>
      <c r="E284" s="336">
        <f t="shared" ca="1" si="66"/>
        <v>0</v>
      </c>
      <c r="F284" s="336">
        <f t="shared" ca="1" si="59"/>
        <v>0</v>
      </c>
      <c r="G284" s="343">
        <f t="shared" ca="1" si="63"/>
        <v>0</v>
      </c>
      <c r="H284" s="336">
        <f t="shared" ca="1" si="64"/>
        <v>0</v>
      </c>
      <c r="I284" s="337">
        <f t="shared" ca="1" si="60"/>
        <v>0</v>
      </c>
    </row>
    <row r="285" spans="1:9">
      <c r="A285" s="335">
        <f t="shared" si="61"/>
        <v>268</v>
      </c>
      <c r="B285" s="340">
        <f t="shared" si="65"/>
        <v>54424</v>
      </c>
      <c r="C285" s="336">
        <f t="shared" ca="1" si="62"/>
        <v>0</v>
      </c>
      <c r="D285" s="335"/>
      <c r="E285" s="336">
        <f t="shared" ca="1" si="66"/>
        <v>0</v>
      </c>
      <c r="F285" s="336">
        <f t="shared" ca="1" si="59"/>
        <v>0</v>
      </c>
      <c r="G285" s="343">
        <f t="shared" ca="1" si="63"/>
        <v>0</v>
      </c>
      <c r="H285" s="336">
        <f t="shared" ca="1" si="64"/>
        <v>0</v>
      </c>
      <c r="I285" s="337">
        <f t="shared" ca="1" si="60"/>
        <v>0</v>
      </c>
    </row>
    <row r="286" spans="1:9">
      <c r="A286" s="335">
        <f t="shared" si="61"/>
        <v>269</v>
      </c>
      <c r="B286" s="340">
        <f t="shared" si="65"/>
        <v>54455</v>
      </c>
      <c r="C286" s="336">
        <f t="shared" ca="1" si="62"/>
        <v>0</v>
      </c>
      <c r="D286" s="335"/>
      <c r="E286" s="336">
        <f t="shared" ca="1" si="66"/>
        <v>0</v>
      </c>
      <c r="F286" s="336">
        <f t="shared" ca="1" si="59"/>
        <v>0</v>
      </c>
      <c r="G286" s="343">
        <f t="shared" ca="1" si="63"/>
        <v>0</v>
      </c>
      <c r="H286" s="336">
        <f t="shared" ca="1" si="64"/>
        <v>0</v>
      </c>
      <c r="I286" s="337">
        <f t="shared" ca="1" si="60"/>
        <v>0</v>
      </c>
    </row>
    <row r="287" spans="1:9">
      <c r="A287" s="335">
        <f t="shared" si="61"/>
        <v>270</v>
      </c>
      <c r="B287" s="340">
        <f t="shared" si="65"/>
        <v>54483</v>
      </c>
      <c r="C287" s="336">
        <f t="shared" ca="1" si="62"/>
        <v>0</v>
      </c>
      <c r="D287" s="335"/>
      <c r="E287" s="336">
        <f t="shared" ca="1" si="66"/>
        <v>0</v>
      </c>
      <c r="F287" s="336">
        <f t="shared" ca="1" si="59"/>
        <v>0</v>
      </c>
      <c r="G287" s="343">
        <f t="shared" ca="1" si="63"/>
        <v>0</v>
      </c>
      <c r="H287" s="336">
        <f t="shared" ca="1" si="64"/>
        <v>0</v>
      </c>
      <c r="I287" s="337">
        <f t="shared" ca="1" si="60"/>
        <v>0</v>
      </c>
    </row>
    <row r="288" spans="1:9">
      <c r="A288" s="335">
        <f t="shared" si="61"/>
        <v>271</v>
      </c>
      <c r="B288" s="340">
        <f t="shared" si="65"/>
        <v>54514</v>
      </c>
      <c r="C288" s="336">
        <f t="shared" ca="1" si="62"/>
        <v>0</v>
      </c>
      <c r="D288" s="335"/>
      <c r="E288" s="336">
        <f t="shared" ca="1" si="66"/>
        <v>0</v>
      </c>
      <c r="F288" s="336">
        <f t="shared" ca="1" si="59"/>
        <v>0</v>
      </c>
      <c r="G288" s="343">
        <f t="shared" ca="1" si="63"/>
        <v>0</v>
      </c>
      <c r="H288" s="336">
        <f t="shared" ca="1" si="64"/>
        <v>0</v>
      </c>
      <c r="I288" s="337">
        <f t="shared" ca="1" si="60"/>
        <v>0</v>
      </c>
    </row>
    <row r="289" spans="1:9">
      <c r="A289" s="335">
        <f t="shared" si="61"/>
        <v>272</v>
      </c>
      <c r="B289" s="340">
        <f t="shared" si="65"/>
        <v>54544</v>
      </c>
      <c r="C289" s="336">
        <f t="shared" ca="1" si="62"/>
        <v>0</v>
      </c>
      <c r="D289" s="335"/>
      <c r="E289" s="336">
        <f t="shared" ca="1" si="66"/>
        <v>0</v>
      </c>
      <c r="F289" s="336">
        <f t="shared" ca="1" si="59"/>
        <v>0</v>
      </c>
      <c r="G289" s="343">
        <f t="shared" ca="1" si="63"/>
        <v>0</v>
      </c>
      <c r="H289" s="336">
        <f t="shared" ca="1" si="64"/>
        <v>0</v>
      </c>
      <c r="I289" s="337">
        <f t="shared" ca="1" si="60"/>
        <v>0</v>
      </c>
    </row>
    <row r="290" spans="1:9">
      <c r="A290" s="335">
        <f t="shared" si="61"/>
        <v>273</v>
      </c>
      <c r="B290" s="340">
        <f t="shared" si="65"/>
        <v>54575</v>
      </c>
      <c r="C290" s="336">
        <f t="shared" ca="1" si="62"/>
        <v>0</v>
      </c>
      <c r="D290" s="335"/>
      <c r="E290" s="336">
        <f t="shared" ca="1" si="66"/>
        <v>0</v>
      </c>
      <c r="F290" s="336">
        <f t="shared" ca="1" si="59"/>
        <v>0</v>
      </c>
      <c r="G290" s="343">
        <f t="shared" ca="1" si="63"/>
        <v>0</v>
      </c>
      <c r="H290" s="336">
        <f t="shared" ca="1" si="64"/>
        <v>0</v>
      </c>
      <c r="I290" s="337">
        <f t="shared" ca="1" si="60"/>
        <v>0</v>
      </c>
    </row>
    <row r="291" spans="1:9">
      <c r="A291" s="335">
        <f t="shared" si="61"/>
        <v>274</v>
      </c>
      <c r="B291" s="340">
        <f t="shared" si="65"/>
        <v>54605</v>
      </c>
      <c r="C291" s="336">
        <f t="shared" ca="1" si="62"/>
        <v>0</v>
      </c>
      <c r="D291" s="335"/>
      <c r="E291" s="336">
        <f t="shared" ca="1" si="66"/>
        <v>0</v>
      </c>
      <c r="F291" s="336">
        <f t="shared" ca="1" si="59"/>
        <v>0</v>
      </c>
      <c r="G291" s="343">
        <f t="shared" ca="1" si="63"/>
        <v>0</v>
      </c>
      <c r="H291" s="336">
        <f t="shared" ca="1" si="64"/>
        <v>0</v>
      </c>
      <c r="I291" s="337">
        <f t="shared" ca="1" si="60"/>
        <v>0</v>
      </c>
    </row>
    <row r="292" spans="1:9">
      <c r="A292" s="335">
        <f t="shared" si="61"/>
        <v>275</v>
      </c>
      <c r="B292" s="340">
        <f t="shared" si="65"/>
        <v>54636</v>
      </c>
      <c r="C292" s="336">
        <f t="shared" ca="1" si="62"/>
        <v>0</v>
      </c>
      <c r="D292" s="335"/>
      <c r="E292" s="336">
        <f t="shared" ca="1" si="66"/>
        <v>0</v>
      </c>
      <c r="F292" s="336">
        <f t="shared" ca="1" si="59"/>
        <v>0</v>
      </c>
      <c r="G292" s="343">
        <f t="shared" ca="1" si="63"/>
        <v>0</v>
      </c>
      <c r="H292" s="336">
        <f t="shared" ca="1" si="64"/>
        <v>0</v>
      </c>
      <c r="I292" s="337">
        <f t="shared" ca="1" si="60"/>
        <v>0</v>
      </c>
    </row>
    <row r="293" spans="1:9">
      <c r="A293" s="335">
        <f t="shared" si="61"/>
        <v>276</v>
      </c>
      <c r="B293" s="340">
        <f t="shared" si="65"/>
        <v>54667</v>
      </c>
      <c r="C293" s="336">
        <f t="shared" ca="1" si="62"/>
        <v>0</v>
      </c>
      <c r="D293" s="336">
        <f ca="1">IF(H293&lt;0,0,(K40-L40)/11)</f>
        <v>199326.27272727274</v>
      </c>
      <c r="E293" s="336">
        <f t="shared" ca="1" si="66"/>
        <v>0</v>
      </c>
      <c r="F293" s="336">
        <f t="shared" ca="1" si="59"/>
        <v>0</v>
      </c>
      <c r="G293" s="343">
        <f t="shared" ca="1" si="63"/>
        <v>0</v>
      </c>
      <c r="H293" s="336">
        <f t="shared" ca="1" si="64"/>
        <v>0</v>
      </c>
      <c r="I293" s="337">
        <f t="shared" ca="1" si="60"/>
        <v>199326</v>
      </c>
    </row>
    <row r="294" spans="1:9">
      <c r="A294" s="335">
        <f t="shared" si="61"/>
        <v>277</v>
      </c>
      <c r="B294" s="340">
        <f t="shared" si="65"/>
        <v>54697</v>
      </c>
      <c r="C294" s="336">
        <f t="shared" ca="1" si="62"/>
        <v>0</v>
      </c>
      <c r="D294" s="335"/>
      <c r="E294" s="336">
        <f t="shared" ref="E294:E305" si="67">IF($D$10=1,
 IF(OR(MONTH(B294)=MONTH(EDATE($D$7,0)),MONTH(B294)=MONTH(EDATE($D$7,1)),MONTH(B294)=MONTH(EDATE($D$7,2)),MONTH(B294)=MONTH(EDATE($D$7,3)), MONTH(B294)=MONTH(EDATE($D$7,4)),MONTH(B294)=MONTH(EDATE($D$7,5)),MONTH(B294)=MONTH(EDATE($D$7,6)),MONTH(B294)=MONTH(EDATE($D$7,7)),MONTH(B294)=MONTH(EDATE($D$7,8)),MONTH(B294)=MONTH(EDATE($D$7,9)),MONTH(B294)=MONTH(EDATE($D$7,10))),(MIN( $D$293,H293)),0),
IF($D$10=0,
 IF(OR(MONTH(B294)=MONTH(EDATE($D$7,1)),MONTH(B294)=MONTH(EDATE($D$7,2)),MONTH(B294)=MONTH(EDATE($D$7,3)),MONTH(B294)=MONTH(EDATE($D$7,4)), MONTH(B294)=MONTH(EDATE($D$7,5)),MONTH(B294)=MONTH(EDATE($D$7,6)),MONTH(B294)=MONTH(EDATE($D$7,7)),MONTH(B294)=MONTH(EDATE($D$7,8)),MONTH(B294)=MONTH(EDATE($D$7,9)),MONTH(B294)=MONTH(EDATE($D$7,10)),MONTH(B294)=MONTH(EDATE($D$7,11))),(MIN( $D$293,H293)),0)))</f>
        <v>0</v>
      </c>
      <c r="F294" s="336">
        <f t="shared" ca="1" si="59"/>
        <v>0</v>
      </c>
      <c r="G294" s="343">
        <f t="shared" ca="1" si="63"/>
        <v>0</v>
      </c>
      <c r="H294" s="336">
        <f t="shared" ca="1" si="64"/>
        <v>0</v>
      </c>
      <c r="I294" s="337">
        <f t="shared" ca="1" si="60"/>
        <v>0</v>
      </c>
    </row>
    <row r="295" spans="1:9">
      <c r="A295" s="335">
        <f t="shared" si="61"/>
        <v>278</v>
      </c>
      <c r="B295" s="340">
        <f t="shared" si="65"/>
        <v>54728</v>
      </c>
      <c r="C295" s="336">
        <f t="shared" ca="1" si="62"/>
        <v>0</v>
      </c>
      <c r="D295" s="335"/>
      <c r="E295" s="336">
        <f t="shared" ca="1" si="67"/>
        <v>0</v>
      </c>
      <c r="F295" s="336">
        <f t="shared" ca="1" si="59"/>
        <v>0</v>
      </c>
      <c r="G295" s="343">
        <f t="shared" ca="1" si="63"/>
        <v>0</v>
      </c>
      <c r="H295" s="336">
        <f t="shared" ca="1" si="64"/>
        <v>0</v>
      </c>
      <c r="I295" s="337">
        <f t="shared" ca="1" si="60"/>
        <v>0</v>
      </c>
    </row>
    <row r="296" spans="1:9">
      <c r="A296" s="335">
        <f t="shared" si="61"/>
        <v>279</v>
      </c>
      <c r="B296" s="340">
        <f t="shared" si="65"/>
        <v>54758</v>
      </c>
      <c r="C296" s="336">
        <f t="shared" ca="1" si="62"/>
        <v>0</v>
      </c>
      <c r="D296" s="335"/>
      <c r="E296" s="336">
        <f t="shared" ca="1" si="67"/>
        <v>0</v>
      </c>
      <c r="F296" s="336">
        <f t="shared" ca="1" si="59"/>
        <v>0</v>
      </c>
      <c r="G296" s="343">
        <f t="shared" ca="1" si="63"/>
        <v>0</v>
      </c>
      <c r="H296" s="336">
        <f t="shared" ca="1" si="64"/>
        <v>0</v>
      </c>
      <c r="I296" s="337">
        <f t="shared" ca="1" si="60"/>
        <v>0</v>
      </c>
    </row>
    <row r="297" spans="1:9">
      <c r="A297" s="335">
        <f t="shared" si="61"/>
        <v>280</v>
      </c>
      <c r="B297" s="340">
        <f t="shared" si="65"/>
        <v>54789</v>
      </c>
      <c r="C297" s="336">
        <f t="shared" ca="1" si="62"/>
        <v>0</v>
      </c>
      <c r="D297" s="335"/>
      <c r="E297" s="336">
        <f t="shared" ca="1" si="67"/>
        <v>0</v>
      </c>
      <c r="F297" s="336">
        <f t="shared" ca="1" si="59"/>
        <v>0</v>
      </c>
      <c r="G297" s="343">
        <f t="shared" ca="1" si="63"/>
        <v>0</v>
      </c>
      <c r="H297" s="336">
        <f t="shared" ca="1" si="64"/>
        <v>0</v>
      </c>
      <c r="I297" s="337">
        <f t="shared" ca="1" si="60"/>
        <v>0</v>
      </c>
    </row>
    <row r="298" spans="1:9">
      <c r="A298" s="335">
        <f t="shared" si="61"/>
        <v>281</v>
      </c>
      <c r="B298" s="340">
        <f t="shared" si="65"/>
        <v>54820</v>
      </c>
      <c r="C298" s="336">
        <f t="shared" ca="1" si="62"/>
        <v>0</v>
      </c>
      <c r="D298" s="335"/>
      <c r="E298" s="336">
        <f t="shared" ca="1" si="67"/>
        <v>0</v>
      </c>
      <c r="F298" s="336">
        <f t="shared" ca="1" si="59"/>
        <v>0</v>
      </c>
      <c r="G298" s="343">
        <f t="shared" ca="1" si="63"/>
        <v>0</v>
      </c>
      <c r="H298" s="336">
        <f t="shared" ca="1" si="64"/>
        <v>0</v>
      </c>
      <c r="I298" s="337">
        <f t="shared" ca="1" si="60"/>
        <v>0</v>
      </c>
    </row>
    <row r="299" spans="1:9">
      <c r="A299" s="335">
        <f t="shared" si="61"/>
        <v>282</v>
      </c>
      <c r="B299" s="340">
        <f t="shared" si="65"/>
        <v>54848</v>
      </c>
      <c r="C299" s="336">
        <f t="shared" ca="1" si="62"/>
        <v>0</v>
      </c>
      <c r="D299" s="335"/>
      <c r="E299" s="336">
        <f t="shared" ca="1" si="67"/>
        <v>0</v>
      </c>
      <c r="F299" s="336">
        <f t="shared" ca="1" si="59"/>
        <v>0</v>
      </c>
      <c r="G299" s="343">
        <f t="shared" ca="1" si="63"/>
        <v>0</v>
      </c>
      <c r="H299" s="336">
        <f t="shared" ca="1" si="64"/>
        <v>0</v>
      </c>
      <c r="I299" s="337">
        <f t="shared" ca="1" si="60"/>
        <v>0</v>
      </c>
    </row>
    <row r="300" spans="1:9">
      <c r="A300" s="335">
        <f t="shared" si="61"/>
        <v>283</v>
      </c>
      <c r="B300" s="340">
        <f t="shared" si="65"/>
        <v>54879</v>
      </c>
      <c r="C300" s="336">
        <f t="shared" ca="1" si="62"/>
        <v>0</v>
      </c>
      <c r="D300" s="335"/>
      <c r="E300" s="336">
        <f t="shared" ca="1" si="67"/>
        <v>0</v>
      </c>
      <c r="F300" s="336">
        <f t="shared" ca="1" si="59"/>
        <v>0</v>
      </c>
      <c r="G300" s="343">
        <f t="shared" ca="1" si="63"/>
        <v>0</v>
      </c>
      <c r="H300" s="336">
        <f t="shared" ca="1" si="64"/>
        <v>0</v>
      </c>
      <c r="I300" s="337">
        <f t="shared" ca="1" si="60"/>
        <v>0</v>
      </c>
    </row>
    <row r="301" spans="1:9">
      <c r="A301" s="335">
        <f t="shared" si="61"/>
        <v>284</v>
      </c>
      <c r="B301" s="340">
        <f t="shared" si="65"/>
        <v>54909</v>
      </c>
      <c r="C301" s="336">
        <f t="shared" ca="1" si="62"/>
        <v>0</v>
      </c>
      <c r="D301" s="335"/>
      <c r="E301" s="336">
        <f t="shared" ca="1" si="67"/>
        <v>0</v>
      </c>
      <c r="F301" s="336">
        <f t="shared" ca="1" si="59"/>
        <v>0</v>
      </c>
      <c r="G301" s="343">
        <f t="shared" ca="1" si="63"/>
        <v>0</v>
      </c>
      <c r="H301" s="336">
        <f t="shared" ca="1" si="64"/>
        <v>0</v>
      </c>
      <c r="I301" s="337">
        <f t="shared" ca="1" si="60"/>
        <v>0</v>
      </c>
    </row>
    <row r="302" spans="1:9">
      <c r="A302" s="335">
        <f t="shared" si="61"/>
        <v>285</v>
      </c>
      <c r="B302" s="340">
        <f t="shared" si="65"/>
        <v>54940</v>
      </c>
      <c r="C302" s="336">
        <f t="shared" ca="1" si="62"/>
        <v>0</v>
      </c>
      <c r="D302" s="335"/>
      <c r="E302" s="336">
        <f t="shared" ca="1" si="67"/>
        <v>0</v>
      </c>
      <c r="F302" s="336">
        <f ca="1">IF(E302="","",E302-G302)</f>
        <v>0</v>
      </c>
      <c r="G302" s="343">
        <f t="shared" ca="1" si="63"/>
        <v>0</v>
      </c>
      <c r="H302" s="336">
        <f t="shared" ca="1" si="64"/>
        <v>0</v>
      </c>
      <c r="I302" s="337">
        <f t="shared" ca="1" si="60"/>
        <v>0</v>
      </c>
    </row>
    <row r="303" spans="1:9">
      <c r="A303" s="335">
        <f t="shared" si="61"/>
        <v>286</v>
      </c>
      <c r="B303" s="340">
        <f t="shared" si="65"/>
        <v>54970</v>
      </c>
      <c r="C303" s="336">
        <f t="shared" ca="1" si="62"/>
        <v>0</v>
      </c>
      <c r="D303" s="335"/>
      <c r="E303" s="336">
        <f t="shared" ca="1" si="67"/>
        <v>0</v>
      </c>
      <c r="F303" s="336">
        <f t="shared" ca="1" si="59"/>
        <v>0</v>
      </c>
      <c r="G303" s="343">
        <f t="shared" ca="1" si="63"/>
        <v>0</v>
      </c>
      <c r="H303" s="336">
        <f t="shared" ca="1" si="64"/>
        <v>0</v>
      </c>
      <c r="I303" s="337">
        <f t="shared" ca="1" si="60"/>
        <v>0</v>
      </c>
    </row>
    <row r="304" spans="1:9">
      <c r="A304" s="335">
        <f t="shared" si="61"/>
        <v>287</v>
      </c>
      <c r="B304" s="340">
        <f t="shared" si="65"/>
        <v>55001</v>
      </c>
      <c r="C304" s="336">
        <f t="shared" ca="1" si="62"/>
        <v>0</v>
      </c>
      <c r="D304" s="335"/>
      <c r="E304" s="336">
        <f t="shared" ca="1" si="67"/>
        <v>0</v>
      </c>
      <c r="F304" s="336">
        <f t="shared" ca="1" si="59"/>
        <v>0</v>
      </c>
      <c r="G304" s="343">
        <f t="shared" ca="1" si="63"/>
        <v>0</v>
      </c>
      <c r="H304" s="336">
        <f t="shared" ca="1" si="64"/>
        <v>0</v>
      </c>
      <c r="I304" s="337">
        <f t="shared" ca="1" si="60"/>
        <v>0</v>
      </c>
    </row>
    <row r="305" spans="1:9">
      <c r="A305" s="335">
        <f t="shared" si="61"/>
        <v>288</v>
      </c>
      <c r="B305" s="340">
        <f t="shared" si="65"/>
        <v>55032</v>
      </c>
      <c r="C305" s="336">
        <f t="shared" ca="1" si="62"/>
        <v>0</v>
      </c>
      <c r="D305" s="336">
        <f ca="1">IF(H305&lt;0,0,(K41-L41)/11)</f>
        <v>203788.63636363635</v>
      </c>
      <c r="E305" s="336">
        <f t="shared" ca="1" si="67"/>
        <v>0</v>
      </c>
      <c r="F305" s="336">
        <f t="shared" ca="1" si="59"/>
        <v>0</v>
      </c>
      <c r="G305" s="343">
        <f t="shared" ca="1" si="63"/>
        <v>0</v>
      </c>
      <c r="H305" s="336">
        <f t="shared" ca="1" si="64"/>
        <v>0</v>
      </c>
      <c r="I305" s="337">
        <f t="shared" ca="1" si="60"/>
        <v>203789</v>
      </c>
    </row>
    <row r="306" spans="1:9">
      <c r="A306" s="335">
        <f t="shared" si="61"/>
        <v>289</v>
      </c>
      <c r="B306" s="340">
        <f t="shared" si="65"/>
        <v>55062</v>
      </c>
      <c r="C306" s="336">
        <f t="shared" ca="1" si="62"/>
        <v>0</v>
      </c>
      <c r="D306" s="336"/>
      <c r="E306" s="336">
        <f t="shared" ref="E306:E317" si="68">IF($D$10=1,
 IF(OR(MONTH(B306)=MONTH(EDATE($D$7,0)),MONTH(B306)=MONTH(EDATE($D$7,1)),MONTH(B306)=MONTH(EDATE($D$7,2)),MONTH(B306)=MONTH(EDATE($D$7,3)), MONTH(B306)=MONTH(EDATE($D$7,4)),MONTH(B306)=MONTH(EDATE($D$7,5)),MONTH(B306)=MONTH(EDATE($D$7,6)),MONTH(B306)=MONTH(EDATE($D$7,7)),MONTH(B306)=MONTH(EDATE($D$7,8)),MONTH(B306)=MONTH(EDATE($D$7,9)),MONTH(B306)=MONTH(EDATE($D$7,10))),(MIN( $D$305,H305)),0),
IF($D$10=0,
 IF(OR(MONTH(B306)=MONTH(EDATE($D$7,1)),MONTH(B306)=MONTH(EDATE($D$7,2)),MONTH(B306)=MONTH(EDATE($D$7,3)),MONTH(B306)=MONTH(EDATE($D$7,4)), MONTH(B306)=MONTH(EDATE($D$7,5)),MONTH(B306)=MONTH(EDATE($D$7,6)),MONTH(B306)=MONTH(EDATE($D$7,7)),MONTH(B306)=MONTH(EDATE($D$7,8)),MONTH(B306)=MONTH(EDATE($D$7,9)),MONTH(B306)=MONTH(EDATE($D$7,10)),MONTH(B306)=MONTH(EDATE($D$7,11))),(MIN( $D$305,H305)),0)))</f>
        <v>0</v>
      </c>
      <c r="F306" s="336">
        <f ca="1">IF(E306="","",E306-G306)</f>
        <v>0</v>
      </c>
      <c r="G306" s="343">
        <f t="shared" ca="1" si="63"/>
        <v>0</v>
      </c>
      <c r="H306" s="336">
        <f t="shared" ca="1" si="64"/>
        <v>0</v>
      </c>
      <c r="I306" s="337">
        <f t="shared" ca="1" si="60"/>
        <v>0</v>
      </c>
    </row>
    <row r="307" spans="1:9">
      <c r="A307" s="335">
        <f t="shared" si="61"/>
        <v>290</v>
      </c>
      <c r="B307" s="340">
        <f t="shared" si="65"/>
        <v>55093</v>
      </c>
      <c r="C307" s="336">
        <f t="shared" ca="1" si="62"/>
        <v>0</v>
      </c>
      <c r="D307" s="335"/>
      <c r="E307" s="336">
        <f t="shared" ca="1" si="68"/>
        <v>0</v>
      </c>
      <c r="F307" s="336">
        <f t="shared" ca="1" si="59"/>
        <v>0</v>
      </c>
      <c r="G307" s="343">
        <f t="shared" ca="1" si="63"/>
        <v>0</v>
      </c>
      <c r="H307" s="336">
        <f t="shared" ca="1" si="64"/>
        <v>0</v>
      </c>
      <c r="I307" s="337">
        <f t="shared" ca="1" si="60"/>
        <v>0</v>
      </c>
    </row>
    <row r="308" spans="1:9">
      <c r="A308" s="335">
        <f t="shared" si="61"/>
        <v>291</v>
      </c>
      <c r="B308" s="340">
        <f t="shared" si="65"/>
        <v>55123</v>
      </c>
      <c r="C308" s="336">
        <f t="shared" ca="1" si="62"/>
        <v>0</v>
      </c>
      <c r="D308" s="335"/>
      <c r="E308" s="336">
        <f t="shared" ca="1" si="68"/>
        <v>0</v>
      </c>
      <c r="F308" s="336">
        <f t="shared" ca="1" si="59"/>
        <v>0</v>
      </c>
      <c r="G308" s="343">
        <f t="shared" ca="1" si="63"/>
        <v>0</v>
      </c>
      <c r="H308" s="336">
        <f t="shared" ca="1" si="64"/>
        <v>0</v>
      </c>
      <c r="I308" s="337">
        <f t="shared" ca="1" si="60"/>
        <v>0</v>
      </c>
    </row>
    <row r="309" spans="1:9">
      <c r="A309" s="335">
        <f t="shared" si="61"/>
        <v>292</v>
      </c>
      <c r="B309" s="340">
        <f t="shared" si="65"/>
        <v>55154</v>
      </c>
      <c r="C309" s="336">
        <f t="shared" ca="1" si="62"/>
        <v>0</v>
      </c>
      <c r="D309" s="335"/>
      <c r="E309" s="336">
        <f t="shared" ca="1" si="68"/>
        <v>0</v>
      </c>
      <c r="F309" s="336">
        <f t="shared" ca="1" si="59"/>
        <v>0</v>
      </c>
      <c r="G309" s="343">
        <f t="shared" ca="1" si="63"/>
        <v>0</v>
      </c>
      <c r="H309" s="336">
        <f t="shared" ca="1" si="64"/>
        <v>0</v>
      </c>
      <c r="I309" s="337">
        <f t="shared" ca="1" si="60"/>
        <v>0</v>
      </c>
    </row>
    <row r="310" spans="1:9">
      <c r="A310" s="335">
        <f t="shared" si="61"/>
        <v>293</v>
      </c>
      <c r="B310" s="340">
        <f t="shared" si="65"/>
        <v>55185</v>
      </c>
      <c r="C310" s="336">
        <f t="shared" ca="1" si="62"/>
        <v>0</v>
      </c>
      <c r="D310" s="335"/>
      <c r="E310" s="336">
        <f t="shared" ca="1" si="68"/>
        <v>0</v>
      </c>
      <c r="F310" s="336">
        <f t="shared" ca="1" si="59"/>
        <v>0</v>
      </c>
      <c r="G310" s="343">
        <f t="shared" ca="1" si="63"/>
        <v>0</v>
      </c>
      <c r="H310" s="336">
        <f t="shared" ca="1" si="64"/>
        <v>0</v>
      </c>
      <c r="I310" s="337">
        <f t="shared" ca="1" si="60"/>
        <v>0</v>
      </c>
    </row>
    <row r="311" spans="1:9">
      <c r="A311" s="335">
        <f t="shared" si="61"/>
        <v>294</v>
      </c>
      <c r="B311" s="340">
        <f t="shared" si="65"/>
        <v>55213</v>
      </c>
      <c r="C311" s="336">
        <f t="shared" ca="1" si="62"/>
        <v>0</v>
      </c>
      <c r="D311" s="335"/>
      <c r="E311" s="336">
        <f t="shared" ca="1" si="68"/>
        <v>0</v>
      </c>
      <c r="F311" s="336">
        <f t="shared" ca="1" si="59"/>
        <v>0</v>
      </c>
      <c r="G311" s="343">
        <f t="shared" ca="1" si="63"/>
        <v>0</v>
      </c>
      <c r="H311" s="336">
        <f t="shared" ca="1" si="64"/>
        <v>0</v>
      </c>
      <c r="I311" s="337">
        <f t="shared" ca="1" si="60"/>
        <v>0</v>
      </c>
    </row>
    <row r="312" spans="1:9">
      <c r="A312" s="335">
        <f t="shared" si="61"/>
        <v>295</v>
      </c>
      <c r="B312" s="340">
        <f t="shared" si="65"/>
        <v>55244</v>
      </c>
      <c r="C312" s="336">
        <f t="shared" ca="1" si="62"/>
        <v>0</v>
      </c>
      <c r="D312" s="335"/>
      <c r="E312" s="336">
        <f t="shared" ca="1" si="68"/>
        <v>0</v>
      </c>
      <c r="F312" s="336">
        <f t="shared" ca="1" si="59"/>
        <v>0</v>
      </c>
      <c r="G312" s="343">
        <f t="shared" ca="1" si="63"/>
        <v>0</v>
      </c>
      <c r="H312" s="336">
        <f t="shared" ca="1" si="64"/>
        <v>0</v>
      </c>
      <c r="I312" s="337">
        <f t="shared" ca="1" si="60"/>
        <v>0</v>
      </c>
    </row>
    <row r="313" spans="1:9">
      <c r="A313" s="335">
        <f t="shared" si="61"/>
        <v>296</v>
      </c>
      <c r="B313" s="340">
        <f t="shared" si="65"/>
        <v>55274</v>
      </c>
      <c r="C313" s="336">
        <f t="shared" ca="1" si="62"/>
        <v>0</v>
      </c>
      <c r="D313" s="335"/>
      <c r="E313" s="336">
        <f t="shared" ca="1" si="68"/>
        <v>0</v>
      </c>
      <c r="F313" s="336">
        <f t="shared" ca="1" si="59"/>
        <v>0</v>
      </c>
      <c r="G313" s="343">
        <f t="shared" ca="1" si="63"/>
        <v>0</v>
      </c>
      <c r="H313" s="336">
        <f t="shared" ca="1" si="64"/>
        <v>0</v>
      </c>
      <c r="I313" s="337">
        <f t="shared" ca="1" si="60"/>
        <v>0</v>
      </c>
    </row>
    <row r="314" spans="1:9">
      <c r="A314" s="335">
        <f t="shared" si="61"/>
        <v>297</v>
      </c>
      <c r="B314" s="340">
        <f t="shared" si="65"/>
        <v>55305</v>
      </c>
      <c r="C314" s="336">
        <f t="shared" ca="1" si="62"/>
        <v>0</v>
      </c>
      <c r="D314" s="335"/>
      <c r="E314" s="336">
        <f t="shared" ca="1" si="68"/>
        <v>0</v>
      </c>
      <c r="F314" s="336">
        <f t="shared" ca="1" si="59"/>
        <v>0</v>
      </c>
      <c r="G314" s="343">
        <f t="shared" ca="1" si="63"/>
        <v>0</v>
      </c>
      <c r="H314" s="336">
        <f t="shared" ca="1" si="64"/>
        <v>0</v>
      </c>
      <c r="I314" s="337">
        <f t="shared" ca="1" si="60"/>
        <v>0</v>
      </c>
    </row>
    <row r="315" spans="1:9">
      <c r="A315" s="335">
        <f t="shared" si="61"/>
        <v>298</v>
      </c>
      <c r="B315" s="340">
        <f t="shared" si="65"/>
        <v>55335</v>
      </c>
      <c r="C315" s="336">
        <f t="shared" ca="1" si="62"/>
        <v>0</v>
      </c>
      <c r="D315" s="335"/>
      <c r="E315" s="336">
        <f t="shared" ca="1" si="68"/>
        <v>0</v>
      </c>
      <c r="F315" s="336">
        <f t="shared" ca="1" si="59"/>
        <v>0</v>
      </c>
      <c r="G315" s="343">
        <f t="shared" ca="1" si="63"/>
        <v>0</v>
      </c>
      <c r="H315" s="336">
        <f t="shared" ca="1" si="64"/>
        <v>0</v>
      </c>
      <c r="I315" s="337">
        <f t="shared" ca="1" si="60"/>
        <v>0</v>
      </c>
    </row>
    <row r="316" spans="1:9">
      <c r="A316" s="335">
        <f t="shared" si="61"/>
        <v>299</v>
      </c>
      <c r="B316" s="340">
        <f t="shared" si="65"/>
        <v>55366</v>
      </c>
      <c r="C316" s="336">
        <f t="shared" ca="1" si="62"/>
        <v>0</v>
      </c>
      <c r="D316" s="335"/>
      <c r="E316" s="336">
        <f t="shared" ca="1" si="68"/>
        <v>0</v>
      </c>
      <c r="F316" s="336">
        <f t="shared" ca="1" si="59"/>
        <v>0</v>
      </c>
      <c r="G316" s="343">
        <f t="shared" ca="1" si="63"/>
        <v>0</v>
      </c>
      <c r="H316" s="336">
        <f t="shared" ca="1" si="64"/>
        <v>0</v>
      </c>
      <c r="I316" s="337">
        <f t="shared" ca="1" si="60"/>
        <v>0</v>
      </c>
    </row>
    <row r="317" spans="1:9">
      <c r="A317" s="335">
        <f t="shared" si="61"/>
        <v>300</v>
      </c>
      <c r="B317" s="340">
        <f t="shared" si="65"/>
        <v>55397</v>
      </c>
      <c r="C317" s="336">
        <f t="shared" ca="1" si="62"/>
        <v>0</v>
      </c>
      <c r="D317" s="336">
        <f ca="1">IF(H306&lt;0,0,(K42-L42)/11)</f>
        <v>223492.63636363635</v>
      </c>
      <c r="E317" s="336">
        <f t="shared" ca="1" si="68"/>
        <v>0</v>
      </c>
      <c r="F317" s="336">
        <f t="shared" ca="1" si="59"/>
        <v>0</v>
      </c>
      <c r="G317" s="343">
        <f t="shared" ca="1" si="63"/>
        <v>0</v>
      </c>
      <c r="H317" s="336">
        <f t="shared" ca="1" si="64"/>
        <v>0</v>
      </c>
      <c r="I317" s="337">
        <f t="shared" ca="1" si="60"/>
        <v>223493</v>
      </c>
    </row>
    <row r="318" spans="1:9">
      <c r="A318" s="335">
        <f t="shared" si="61"/>
        <v>301</v>
      </c>
      <c r="B318" s="340">
        <f t="shared" si="65"/>
        <v>55427</v>
      </c>
      <c r="C318" s="336">
        <f t="shared" ref="C318:C381" ca="1" si="69">IF(H317=0,0,H317)</f>
        <v>0</v>
      </c>
      <c r="D318" s="336"/>
      <c r="E318" s="336">
        <f t="shared" ref="E318:E381" si="70">IF($D$10=1,
 IF(OR(MONTH(B318)=MONTH(EDATE($D$7,0)),MONTH(B318)=MONTH(EDATE($D$7,1)),MONTH(B318)=MONTH(EDATE($D$7,2)),MONTH(B318)=MONTH(EDATE($D$7,3)), MONTH(B318)=MONTH(EDATE($D$7,4)),MONTH(B318)=MONTH(EDATE($D$7,5)),MONTH(B318)=MONTH(EDATE($D$7,6)),MONTH(B318)=MONTH(EDATE($D$7,7)),MONTH(B318)=MONTH(EDATE($D$7,8)),MONTH(B318)=MONTH(EDATE($D$7,9)),MONTH(B318)=MONTH(EDATE($D$7,10))),(MIN( $D$305,H317)),0),
IF($D$10=0,
 IF(OR(MONTH(B318)=MONTH(EDATE($D$7,1)),MONTH(B318)=MONTH(EDATE($D$7,2)),MONTH(B318)=MONTH(EDATE($D$7,3)),MONTH(B318)=MONTH(EDATE($D$7,4)), MONTH(B318)=MONTH(EDATE($D$7,5)),MONTH(B318)=MONTH(EDATE($D$7,6)),MONTH(B318)=MONTH(EDATE($D$7,7)),MONTH(B318)=MONTH(EDATE($D$7,8)),MONTH(B318)=MONTH(EDATE($D$7,9)),MONTH(B318)=MONTH(EDATE($D$7,10)),MONTH(B318)=MONTH(EDATE($D$7,11))),(MIN( $D$305,H317)),0)))</f>
        <v>0</v>
      </c>
      <c r="F318" s="336">
        <f t="shared" ref="F318:F381" ca="1" si="71">IF(E318="","",E318-G318)</f>
        <v>0</v>
      </c>
      <c r="G318" s="343">
        <f t="shared" ref="G318:G381" ca="1" si="72">ROUND((C318-E318)*$D$5,3)</f>
        <v>0</v>
      </c>
      <c r="H318" s="336">
        <f t="shared" ref="H318:H381" ca="1" si="73">IF(E318="","",ROUND(H317-F318,4))</f>
        <v>0</v>
      </c>
      <c r="I318" s="337">
        <f t="shared" ref="I318:I381" ca="1" si="74">ROUND((D318-H318),0)</f>
        <v>0</v>
      </c>
    </row>
    <row r="319" spans="1:9">
      <c r="A319" s="335">
        <f t="shared" si="61"/>
        <v>302</v>
      </c>
      <c r="B319" s="340">
        <f t="shared" si="65"/>
        <v>55458</v>
      </c>
      <c r="C319" s="336">
        <f t="shared" ca="1" si="69"/>
        <v>0</v>
      </c>
      <c r="D319" s="335"/>
      <c r="E319" s="336">
        <f t="shared" ca="1" si="70"/>
        <v>0</v>
      </c>
      <c r="F319" s="336">
        <f t="shared" ca="1" si="71"/>
        <v>0</v>
      </c>
      <c r="G319" s="343">
        <f t="shared" ca="1" si="72"/>
        <v>0</v>
      </c>
      <c r="H319" s="336">
        <f t="shared" ca="1" si="73"/>
        <v>0</v>
      </c>
      <c r="I319" s="337">
        <f t="shared" ca="1" si="74"/>
        <v>0</v>
      </c>
    </row>
    <row r="320" spans="1:9">
      <c r="A320" s="335">
        <f t="shared" si="61"/>
        <v>303</v>
      </c>
      <c r="B320" s="340">
        <f t="shared" si="65"/>
        <v>55488</v>
      </c>
      <c r="C320" s="336">
        <f t="shared" ca="1" si="69"/>
        <v>0</v>
      </c>
      <c r="D320" s="335"/>
      <c r="E320" s="336">
        <f t="shared" ca="1" si="70"/>
        <v>0</v>
      </c>
      <c r="F320" s="336">
        <f t="shared" ca="1" si="71"/>
        <v>0</v>
      </c>
      <c r="G320" s="343">
        <f t="shared" ca="1" si="72"/>
        <v>0</v>
      </c>
      <c r="H320" s="336">
        <f t="shared" ca="1" si="73"/>
        <v>0</v>
      </c>
      <c r="I320" s="337">
        <f t="shared" ca="1" si="74"/>
        <v>0</v>
      </c>
    </row>
    <row r="321" spans="1:9">
      <c r="A321" s="335">
        <f t="shared" si="61"/>
        <v>304</v>
      </c>
      <c r="B321" s="340">
        <f t="shared" si="65"/>
        <v>55519</v>
      </c>
      <c r="C321" s="336">
        <f t="shared" ca="1" si="69"/>
        <v>0</v>
      </c>
      <c r="D321" s="335"/>
      <c r="E321" s="336">
        <f t="shared" ca="1" si="70"/>
        <v>0</v>
      </c>
      <c r="F321" s="336">
        <f t="shared" ca="1" si="71"/>
        <v>0</v>
      </c>
      <c r="G321" s="343">
        <f t="shared" ca="1" si="72"/>
        <v>0</v>
      </c>
      <c r="H321" s="336">
        <f t="shared" ca="1" si="73"/>
        <v>0</v>
      </c>
      <c r="I321" s="337">
        <f t="shared" ca="1" si="74"/>
        <v>0</v>
      </c>
    </row>
    <row r="322" spans="1:9">
      <c r="A322" s="335">
        <f t="shared" si="61"/>
        <v>305</v>
      </c>
      <c r="B322" s="340">
        <f t="shared" si="65"/>
        <v>55550</v>
      </c>
      <c r="C322" s="336">
        <f t="shared" ca="1" si="69"/>
        <v>0</v>
      </c>
      <c r="D322" s="335"/>
      <c r="E322" s="336">
        <f t="shared" ca="1" si="70"/>
        <v>0</v>
      </c>
      <c r="F322" s="336">
        <f t="shared" ca="1" si="71"/>
        <v>0</v>
      </c>
      <c r="G322" s="343">
        <f t="shared" ca="1" si="72"/>
        <v>0</v>
      </c>
      <c r="H322" s="336">
        <f t="shared" ca="1" si="73"/>
        <v>0</v>
      </c>
      <c r="I322" s="337">
        <f t="shared" ca="1" si="74"/>
        <v>0</v>
      </c>
    </row>
    <row r="323" spans="1:9">
      <c r="A323" s="335">
        <f t="shared" si="61"/>
        <v>306</v>
      </c>
      <c r="B323" s="340">
        <f t="shared" si="65"/>
        <v>55579</v>
      </c>
      <c r="C323" s="336">
        <f t="shared" ca="1" si="69"/>
        <v>0</v>
      </c>
      <c r="D323" s="335"/>
      <c r="E323" s="336">
        <f t="shared" ca="1" si="70"/>
        <v>0</v>
      </c>
      <c r="F323" s="336">
        <f t="shared" ca="1" si="71"/>
        <v>0</v>
      </c>
      <c r="G323" s="343">
        <f t="shared" ca="1" si="72"/>
        <v>0</v>
      </c>
      <c r="H323" s="336">
        <f t="shared" ca="1" si="73"/>
        <v>0</v>
      </c>
      <c r="I323" s="337">
        <f t="shared" ca="1" si="74"/>
        <v>0</v>
      </c>
    </row>
    <row r="324" spans="1:9">
      <c r="A324" s="335">
        <f t="shared" si="61"/>
        <v>307</v>
      </c>
      <c r="B324" s="340">
        <f t="shared" si="65"/>
        <v>55610</v>
      </c>
      <c r="C324" s="336">
        <f t="shared" ca="1" si="69"/>
        <v>0</v>
      </c>
      <c r="D324" s="335"/>
      <c r="E324" s="336">
        <f t="shared" ca="1" si="70"/>
        <v>0</v>
      </c>
      <c r="F324" s="336">
        <f t="shared" ca="1" si="71"/>
        <v>0</v>
      </c>
      <c r="G324" s="343">
        <f t="shared" ca="1" si="72"/>
        <v>0</v>
      </c>
      <c r="H324" s="336">
        <f t="shared" ca="1" si="73"/>
        <v>0</v>
      </c>
      <c r="I324" s="337">
        <f t="shared" ca="1" si="74"/>
        <v>0</v>
      </c>
    </row>
    <row r="325" spans="1:9">
      <c r="A325" s="335">
        <f t="shared" si="61"/>
        <v>308</v>
      </c>
      <c r="B325" s="340">
        <f t="shared" si="65"/>
        <v>55640</v>
      </c>
      <c r="C325" s="336">
        <f t="shared" ca="1" si="69"/>
        <v>0</v>
      </c>
      <c r="D325" s="335"/>
      <c r="E325" s="336">
        <f t="shared" ca="1" si="70"/>
        <v>0</v>
      </c>
      <c r="F325" s="336">
        <f t="shared" ca="1" si="71"/>
        <v>0</v>
      </c>
      <c r="G325" s="343">
        <f t="shared" ca="1" si="72"/>
        <v>0</v>
      </c>
      <c r="H325" s="336">
        <f t="shared" ca="1" si="73"/>
        <v>0</v>
      </c>
      <c r="I325" s="337">
        <f t="shared" ca="1" si="74"/>
        <v>0</v>
      </c>
    </row>
    <row r="326" spans="1:9">
      <c r="A326" s="335">
        <f t="shared" si="61"/>
        <v>309</v>
      </c>
      <c r="B326" s="340">
        <f t="shared" si="65"/>
        <v>55671</v>
      </c>
      <c r="C326" s="336">
        <f t="shared" ca="1" si="69"/>
        <v>0</v>
      </c>
      <c r="D326" s="335"/>
      <c r="E326" s="336">
        <f t="shared" ca="1" si="70"/>
        <v>0</v>
      </c>
      <c r="F326" s="336">
        <f t="shared" ca="1" si="71"/>
        <v>0</v>
      </c>
      <c r="G326" s="343">
        <f t="shared" ca="1" si="72"/>
        <v>0</v>
      </c>
      <c r="H326" s="336">
        <f t="shared" ca="1" si="73"/>
        <v>0</v>
      </c>
      <c r="I326" s="337">
        <f t="shared" ca="1" si="74"/>
        <v>0</v>
      </c>
    </row>
    <row r="327" spans="1:9">
      <c r="A327" s="335">
        <f t="shared" si="61"/>
        <v>310</v>
      </c>
      <c r="B327" s="340">
        <f t="shared" si="65"/>
        <v>55701</v>
      </c>
      <c r="C327" s="336">
        <f t="shared" ca="1" si="69"/>
        <v>0</v>
      </c>
      <c r="D327" s="335"/>
      <c r="E327" s="336">
        <f t="shared" ca="1" si="70"/>
        <v>0</v>
      </c>
      <c r="F327" s="336">
        <f t="shared" ca="1" si="71"/>
        <v>0</v>
      </c>
      <c r="G327" s="343">
        <f t="shared" ca="1" si="72"/>
        <v>0</v>
      </c>
      <c r="H327" s="336">
        <f t="shared" ca="1" si="73"/>
        <v>0</v>
      </c>
      <c r="I327" s="337">
        <f t="shared" ca="1" si="74"/>
        <v>0</v>
      </c>
    </row>
    <row r="328" spans="1:9">
      <c r="A328" s="335">
        <f t="shared" si="61"/>
        <v>311</v>
      </c>
      <c r="B328" s="340">
        <f t="shared" si="65"/>
        <v>55732</v>
      </c>
      <c r="C328" s="336">
        <f t="shared" ca="1" si="69"/>
        <v>0</v>
      </c>
      <c r="D328" s="335"/>
      <c r="E328" s="336">
        <f t="shared" ca="1" si="70"/>
        <v>0</v>
      </c>
      <c r="F328" s="336">
        <f t="shared" ca="1" si="71"/>
        <v>0</v>
      </c>
      <c r="G328" s="343">
        <f t="shared" ca="1" si="72"/>
        <v>0</v>
      </c>
      <c r="H328" s="336">
        <f t="shared" ca="1" si="73"/>
        <v>0</v>
      </c>
      <c r="I328" s="337">
        <f t="shared" ca="1" si="74"/>
        <v>0</v>
      </c>
    </row>
    <row r="329" spans="1:9">
      <c r="A329" s="335">
        <f t="shared" si="61"/>
        <v>312</v>
      </c>
      <c r="B329" s="340">
        <f t="shared" si="65"/>
        <v>55763</v>
      </c>
      <c r="C329" s="336">
        <f t="shared" ca="1" si="69"/>
        <v>0</v>
      </c>
      <c r="D329" s="336">
        <f ca="1">IF(H307&lt;0,0,(K43-L43)/11)</f>
        <v>223492.63636363635</v>
      </c>
      <c r="E329" s="336">
        <f t="shared" ca="1" si="70"/>
        <v>0</v>
      </c>
      <c r="F329" s="336">
        <f t="shared" ca="1" si="71"/>
        <v>0</v>
      </c>
      <c r="G329" s="343">
        <f t="shared" ca="1" si="72"/>
        <v>0</v>
      </c>
      <c r="H329" s="336">
        <f t="shared" ca="1" si="73"/>
        <v>0</v>
      </c>
      <c r="I329" s="337">
        <f t="shared" ca="1" si="74"/>
        <v>223493</v>
      </c>
    </row>
    <row r="330" spans="1:9">
      <c r="A330" s="335">
        <f t="shared" si="61"/>
        <v>313</v>
      </c>
      <c r="B330" s="340">
        <f t="shared" si="65"/>
        <v>55793</v>
      </c>
      <c r="C330" s="336">
        <f t="shared" ca="1" si="69"/>
        <v>0</v>
      </c>
      <c r="D330" s="336"/>
      <c r="E330" s="336">
        <f t="shared" si="70"/>
        <v>0</v>
      </c>
      <c r="F330" s="336">
        <f t="shared" ca="1" si="71"/>
        <v>0</v>
      </c>
      <c r="G330" s="343">
        <f t="shared" ca="1" si="72"/>
        <v>0</v>
      </c>
      <c r="H330" s="336">
        <f t="shared" ca="1" si="73"/>
        <v>0</v>
      </c>
      <c r="I330" s="337">
        <f t="shared" ca="1" si="74"/>
        <v>0</v>
      </c>
    </row>
    <row r="331" spans="1:9">
      <c r="A331" s="335">
        <f t="shared" si="61"/>
        <v>314</v>
      </c>
      <c r="B331" s="340">
        <f t="shared" si="65"/>
        <v>55824</v>
      </c>
      <c r="C331" s="336">
        <f t="shared" ca="1" si="69"/>
        <v>0</v>
      </c>
      <c r="D331" s="336"/>
      <c r="E331" s="336">
        <f t="shared" ca="1" si="70"/>
        <v>0</v>
      </c>
      <c r="F331" s="336">
        <f t="shared" ca="1" si="71"/>
        <v>0</v>
      </c>
      <c r="G331" s="343">
        <f t="shared" ca="1" si="72"/>
        <v>0</v>
      </c>
      <c r="H331" s="336">
        <f t="shared" ca="1" si="73"/>
        <v>0</v>
      </c>
      <c r="I331" s="337">
        <f t="shared" ca="1" si="74"/>
        <v>0</v>
      </c>
    </row>
    <row r="332" spans="1:9">
      <c r="A332" s="335">
        <f t="shared" si="61"/>
        <v>315</v>
      </c>
      <c r="B332" s="340">
        <f t="shared" si="65"/>
        <v>55854</v>
      </c>
      <c r="C332" s="336">
        <f t="shared" ca="1" si="69"/>
        <v>0</v>
      </c>
      <c r="D332" s="335"/>
      <c r="E332" s="336">
        <f t="shared" ca="1" si="70"/>
        <v>0</v>
      </c>
      <c r="F332" s="336">
        <f t="shared" ca="1" si="71"/>
        <v>0</v>
      </c>
      <c r="G332" s="343">
        <f t="shared" ca="1" si="72"/>
        <v>0</v>
      </c>
      <c r="H332" s="336">
        <f t="shared" ca="1" si="73"/>
        <v>0</v>
      </c>
      <c r="I332" s="337">
        <f t="shared" ca="1" si="74"/>
        <v>0</v>
      </c>
    </row>
    <row r="333" spans="1:9">
      <c r="A333" s="335">
        <f t="shared" si="61"/>
        <v>316</v>
      </c>
      <c r="B333" s="340">
        <f t="shared" si="65"/>
        <v>55885</v>
      </c>
      <c r="C333" s="336">
        <f t="shared" ca="1" si="69"/>
        <v>0</v>
      </c>
      <c r="D333" s="335"/>
      <c r="E333" s="336">
        <f t="shared" ca="1" si="70"/>
        <v>0</v>
      </c>
      <c r="F333" s="336">
        <f t="shared" ca="1" si="71"/>
        <v>0</v>
      </c>
      <c r="G333" s="343">
        <f t="shared" ca="1" si="72"/>
        <v>0</v>
      </c>
      <c r="H333" s="336">
        <f t="shared" ca="1" si="73"/>
        <v>0</v>
      </c>
      <c r="I333" s="337">
        <f t="shared" ca="1" si="74"/>
        <v>0</v>
      </c>
    </row>
    <row r="334" spans="1:9">
      <c r="A334" s="335">
        <f t="shared" si="61"/>
        <v>317</v>
      </c>
      <c r="B334" s="340">
        <f t="shared" si="65"/>
        <v>55916</v>
      </c>
      <c r="C334" s="336">
        <f t="shared" ca="1" si="69"/>
        <v>0</v>
      </c>
      <c r="D334" s="335"/>
      <c r="E334" s="336">
        <f t="shared" ca="1" si="70"/>
        <v>0</v>
      </c>
      <c r="F334" s="336">
        <f t="shared" ca="1" si="71"/>
        <v>0</v>
      </c>
      <c r="G334" s="343">
        <f t="shared" ca="1" si="72"/>
        <v>0</v>
      </c>
      <c r="H334" s="336">
        <f t="shared" ca="1" si="73"/>
        <v>0</v>
      </c>
      <c r="I334" s="337">
        <f t="shared" ca="1" si="74"/>
        <v>0</v>
      </c>
    </row>
    <row r="335" spans="1:9">
      <c r="A335" s="335">
        <f t="shared" si="61"/>
        <v>318</v>
      </c>
      <c r="B335" s="340">
        <f t="shared" si="65"/>
        <v>55944</v>
      </c>
      <c r="C335" s="336">
        <f t="shared" ca="1" si="69"/>
        <v>0</v>
      </c>
      <c r="D335" s="335"/>
      <c r="E335" s="336">
        <f t="shared" ca="1" si="70"/>
        <v>0</v>
      </c>
      <c r="F335" s="336">
        <f t="shared" ca="1" si="71"/>
        <v>0</v>
      </c>
      <c r="G335" s="343">
        <f t="shared" ca="1" si="72"/>
        <v>0</v>
      </c>
      <c r="H335" s="336">
        <f t="shared" ca="1" si="73"/>
        <v>0</v>
      </c>
      <c r="I335" s="337">
        <f t="shared" ca="1" si="74"/>
        <v>0</v>
      </c>
    </row>
    <row r="336" spans="1:9">
      <c r="A336" s="335">
        <f t="shared" si="61"/>
        <v>319</v>
      </c>
      <c r="B336" s="340">
        <f t="shared" si="65"/>
        <v>55975</v>
      </c>
      <c r="C336" s="336">
        <f t="shared" ca="1" si="69"/>
        <v>0</v>
      </c>
      <c r="D336" s="335"/>
      <c r="E336" s="336">
        <f t="shared" ca="1" si="70"/>
        <v>0</v>
      </c>
      <c r="F336" s="336">
        <f t="shared" ca="1" si="71"/>
        <v>0</v>
      </c>
      <c r="G336" s="343">
        <f t="shared" ca="1" si="72"/>
        <v>0</v>
      </c>
      <c r="H336" s="336">
        <f t="shared" ca="1" si="73"/>
        <v>0</v>
      </c>
      <c r="I336" s="337">
        <f t="shared" ca="1" si="74"/>
        <v>0</v>
      </c>
    </row>
    <row r="337" spans="1:9">
      <c r="A337" s="335">
        <f t="shared" si="61"/>
        <v>320</v>
      </c>
      <c r="B337" s="340">
        <f t="shared" si="65"/>
        <v>56005</v>
      </c>
      <c r="C337" s="336">
        <f t="shared" ca="1" si="69"/>
        <v>0</v>
      </c>
      <c r="D337" s="335"/>
      <c r="E337" s="336">
        <f t="shared" ca="1" si="70"/>
        <v>0</v>
      </c>
      <c r="F337" s="336">
        <f t="shared" ca="1" si="71"/>
        <v>0</v>
      </c>
      <c r="G337" s="343">
        <f t="shared" ca="1" si="72"/>
        <v>0</v>
      </c>
      <c r="H337" s="336">
        <f t="shared" ca="1" si="73"/>
        <v>0</v>
      </c>
      <c r="I337" s="337">
        <f t="shared" ca="1" si="74"/>
        <v>0</v>
      </c>
    </row>
    <row r="338" spans="1:9">
      <c r="A338" s="335">
        <f t="shared" si="61"/>
        <v>321</v>
      </c>
      <c r="B338" s="340">
        <f t="shared" si="65"/>
        <v>56036</v>
      </c>
      <c r="C338" s="336">
        <f t="shared" ca="1" si="69"/>
        <v>0</v>
      </c>
      <c r="D338" s="335"/>
      <c r="E338" s="336">
        <f t="shared" ca="1" si="70"/>
        <v>0</v>
      </c>
      <c r="F338" s="336">
        <f t="shared" ca="1" si="71"/>
        <v>0</v>
      </c>
      <c r="G338" s="343">
        <f t="shared" ca="1" si="72"/>
        <v>0</v>
      </c>
      <c r="H338" s="336">
        <f t="shared" ca="1" si="73"/>
        <v>0</v>
      </c>
      <c r="I338" s="337">
        <f t="shared" ca="1" si="74"/>
        <v>0</v>
      </c>
    </row>
    <row r="339" spans="1:9">
      <c r="A339" s="335">
        <f t="shared" ref="A339:A402" si="75">IF(A338="","",IF(A338=$D$6,"",A338+1))</f>
        <v>322</v>
      </c>
      <c r="B339" s="340">
        <f t="shared" si="65"/>
        <v>56066</v>
      </c>
      <c r="C339" s="336">
        <f t="shared" ca="1" si="69"/>
        <v>0</v>
      </c>
      <c r="D339" s="335"/>
      <c r="E339" s="336">
        <f t="shared" ca="1" si="70"/>
        <v>0</v>
      </c>
      <c r="F339" s="336">
        <f t="shared" ca="1" si="71"/>
        <v>0</v>
      </c>
      <c r="G339" s="343">
        <f t="shared" ca="1" si="72"/>
        <v>0</v>
      </c>
      <c r="H339" s="336">
        <f t="shared" ca="1" si="73"/>
        <v>0</v>
      </c>
      <c r="I339" s="337">
        <f t="shared" ca="1" si="74"/>
        <v>0</v>
      </c>
    </row>
    <row r="340" spans="1:9">
      <c r="A340" s="335">
        <f t="shared" si="75"/>
        <v>323</v>
      </c>
      <c r="B340" s="340">
        <f t="shared" ref="B340:B403" si="76">DATE(YEAR(B339),MONTH(B339)+1,1)</f>
        <v>56097</v>
      </c>
      <c r="C340" s="336">
        <f t="shared" ca="1" si="69"/>
        <v>0</v>
      </c>
      <c r="D340" s="335"/>
      <c r="E340" s="336">
        <f t="shared" ca="1" si="70"/>
        <v>0</v>
      </c>
      <c r="F340" s="336">
        <f t="shared" ca="1" si="71"/>
        <v>0</v>
      </c>
      <c r="G340" s="343">
        <f t="shared" ca="1" si="72"/>
        <v>0</v>
      </c>
      <c r="H340" s="336">
        <f t="shared" ca="1" si="73"/>
        <v>0</v>
      </c>
      <c r="I340" s="337">
        <f t="shared" ca="1" si="74"/>
        <v>0</v>
      </c>
    </row>
    <row r="341" spans="1:9">
      <c r="A341" s="335">
        <f t="shared" si="75"/>
        <v>324</v>
      </c>
      <c r="B341" s="340">
        <f t="shared" si="76"/>
        <v>56128</v>
      </c>
      <c r="C341" s="336">
        <f t="shared" ca="1" si="69"/>
        <v>0</v>
      </c>
      <c r="D341" s="336">
        <f ca="1">IF(H308&lt;0,0,(K44-L44)/11)</f>
        <v>223492.63636363635</v>
      </c>
      <c r="E341" s="336">
        <f t="shared" ca="1" si="70"/>
        <v>0</v>
      </c>
      <c r="F341" s="336">
        <f t="shared" ca="1" si="71"/>
        <v>0</v>
      </c>
      <c r="G341" s="343">
        <f t="shared" ca="1" si="72"/>
        <v>0</v>
      </c>
      <c r="H341" s="336">
        <f t="shared" ca="1" si="73"/>
        <v>0</v>
      </c>
      <c r="I341" s="337">
        <f t="shared" ca="1" si="74"/>
        <v>223493</v>
      </c>
    </row>
    <row r="342" spans="1:9">
      <c r="A342" s="335">
        <f t="shared" si="75"/>
        <v>325</v>
      </c>
      <c r="B342" s="340">
        <f t="shared" si="76"/>
        <v>56158</v>
      </c>
      <c r="C342" s="336">
        <f t="shared" ca="1" si="69"/>
        <v>0</v>
      </c>
      <c r="D342" s="335"/>
      <c r="E342" s="336">
        <f t="shared" si="70"/>
        <v>0</v>
      </c>
      <c r="F342" s="336">
        <f t="shared" ca="1" si="71"/>
        <v>0</v>
      </c>
      <c r="G342" s="343">
        <f t="shared" ca="1" si="72"/>
        <v>0</v>
      </c>
      <c r="H342" s="336">
        <f t="shared" ca="1" si="73"/>
        <v>0</v>
      </c>
      <c r="I342" s="337">
        <f t="shared" ca="1" si="74"/>
        <v>0</v>
      </c>
    </row>
    <row r="343" spans="1:9">
      <c r="A343" s="335">
        <f t="shared" si="75"/>
        <v>326</v>
      </c>
      <c r="B343" s="340">
        <f t="shared" si="76"/>
        <v>56189</v>
      </c>
      <c r="C343" s="336">
        <f t="shared" ca="1" si="69"/>
        <v>0</v>
      </c>
      <c r="D343" s="335"/>
      <c r="E343" s="336">
        <f t="shared" ca="1" si="70"/>
        <v>0</v>
      </c>
      <c r="F343" s="336">
        <f t="shared" ca="1" si="71"/>
        <v>0</v>
      </c>
      <c r="G343" s="343">
        <f t="shared" ca="1" si="72"/>
        <v>0</v>
      </c>
      <c r="H343" s="336">
        <f t="shared" ca="1" si="73"/>
        <v>0</v>
      </c>
      <c r="I343" s="337">
        <f t="shared" ca="1" si="74"/>
        <v>0</v>
      </c>
    </row>
    <row r="344" spans="1:9">
      <c r="A344" s="335">
        <f t="shared" si="75"/>
        <v>327</v>
      </c>
      <c r="B344" s="340">
        <f t="shared" si="76"/>
        <v>56219</v>
      </c>
      <c r="C344" s="336">
        <f t="shared" ca="1" si="69"/>
        <v>0</v>
      </c>
      <c r="D344" s="335"/>
      <c r="E344" s="336">
        <f t="shared" ca="1" si="70"/>
        <v>0</v>
      </c>
      <c r="F344" s="336">
        <f t="shared" ca="1" si="71"/>
        <v>0</v>
      </c>
      <c r="G344" s="343">
        <f t="shared" ca="1" si="72"/>
        <v>0</v>
      </c>
      <c r="H344" s="336">
        <f t="shared" ca="1" si="73"/>
        <v>0</v>
      </c>
      <c r="I344" s="337">
        <f t="shared" ca="1" si="74"/>
        <v>0</v>
      </c>
    </row>
    <row r="345" spans="1:9">
      <c r="A345" s="335">
        <f t="shared" si="75"/>
        <v>328</v>
      </c>
      <c r="B345" s="340">
        <f t="shared" si="76"/>
        <v>56250</v>
      </c>
      <c r="C345" s="336">
        <f t="shared" ca="1" si="69"/>
        <v>0</v>
      </c>
      <c r="D345" s="335"/>
      <c r="E345" s="336">
        <f t="shared" ca="1" si="70"/>
        <v>0</v>
      </c>
      <c r="F345" s="336">
        <f t="shared" ca="1" si="71"/>
        <v>0</v>
      </c>
      <c r="G345" s="343">
        <f t="shared" ca="1" si="72"/>
        <v>0</v>
      </c>
      <c r="H345" s="336">
        <f t="shared" ca="1" si="73"/>
        <v>0</v>
      </c>
      <c r="I345" s="337">
        <f t="shared" ca="1" si="74"/>
        <v>0</v>
      </c>
    </row>
    <row r="346" spans="1:9">
      <c r="A346" s="335">
        <f t="shared" si="75"/>
        <v>329</v>
      </c>
      <c r="B346" s="340">
        <f t="shared" si="76"/>
        <v>56281</v>
      </c>
      <c r="C346" s="336">
        <f t="shared" ca="1" si="69"/>
        <v>0</v>
      </c>
      <c r="D346" s="335"/>
      <c r="E346" s="336">
        <f t="shared" ca="1" si="70"/>
        <v>0</v>
      </c>
      <c r="F346" s="336">
        <f t="shared" ca="1" si="71"/>
        <v>0</v>
      </c>
      <c r="G346" s="343">
        <f t="shared" ca="1" si="72"/>
        <v>0</v>
      </c>
      <c r="H346" s="336">
        <f t="shared" ca="1" si="73"/>
        <v>0</v>
      </c>
      <c r="I346" s="337">
        <f t="shared" ca="1" si="74"/>
        <v>0</v>
      </c>
    </row>
    <row r="347" spans="1:9">
      <c r="A347" s="335">
        <f t="shared" si="75"/>
        <v>330</v>
      </c>
      <c r="B347" s="340">
        <f t="shared" si="76"/>
        <v>56309</v>
      </c>
      <c r="C347" s="336">
        <f t="shared" ca="1" si="69"/>
        <v>0</v>
      </c>
      <c r="D347" s="335"/>
      <c r="E347" s="336">
        <f t="shared" ca="1" si="70"/>
        <v>0</v>
      </c>
      <c r="F347" s="336">
        <f t="shared" ca="1" si="71"/>
        <v>0</v>
      </c>
      <c r="G347" s="343">
        <f t="shared" ca="1" si="72"/>
        <v>0</v>
      </c>
      <c r="H347" s="336">
        <f t="shared" ca="1" si="73"/>
        <v>0</v>
      </c>
      <c r="I347" s="337">
        <f t="shared" ca="1" si="74"/>
        <v>0</v>
      </c>
    </row>
    <row r="348" spans="1:9">
      <c r="A348" s="335">
        <f t="shared" si="75"/>
        <v>331</v>
      </c>
      <c r="B348" s="340">
        <f t="shared" si="76"/>
        <v>56340</v>
      </c>
      <c r="C348" s="336">
        <f t="shared" ca="1" si="69"/>
        <v>0</v>
      </c>
      <c r="D348" s="335"/>
      <c r="E348" s="336">
        <f t="shared" ca="1" si="70"/>
        <v>0</v>
      </c>
      <c r="F348" s="336">
        <f t="shared" ca="1" si="71"/>
        <v>0</v>
      </c>
      <c r="G348" s="343">
        <f t="shared" ca="1" si="72"/>
        <v>0</v>
      </c>
      <c r="H348" s="336">
        <f t="shared" ca="1" si="73"/>
        <v>0</v>
      </c>
      <c r="I348" s="337">
        <f t="shared" ca="1" si="74"/>
        <v>0</v>
      </c>
    </row>
    <row r="349" spans="1:9">
      <c r="A349" s="335">
        <f t="shared" si="75"/>
        <v>332</v>
      </c>
      <c r="B349" s="340">
        <f t="shared" si="76"/>
        <v>56370</v>
      </c>
      <c r="C349" s="336">
        <f t="shared" ca="1" si="69"/>
        <v>0</v>
      </c>
      <c r="D349" s="335"/>
      <c r="E349" s="336">
        <f t="shared" ca="1" si="70"/>
        <v>0</v>
      </c>
      <c r="F349" s="336">
        <f t="shared" ca="1" si="71"/>
        <v>0</v>
      </c>
      <c r="G349" s="343">
        <f t="shared" ca="1" si="72"/>
        <v>0</v>
      </c>
      <c r="H349" s="336">
        <f t="shared" ca="1" si="73"/>
        <v>0</v>
      </c>
      <c r="I349" s="337">
        <f t="shared" ca="1" si="74"/>
        <v>0</v>
      </c>
    </row>
    <row r="350" spans="1:9">
      <c r="A350" s="335">
        <f t="shared" si="75"/>
        <v>333</v>
      </c>
      <c r="B350" s="340">
        <f t="shared" si="76"/>
        <v>56401</v>
      </c>
      <c r="C350" s="336">
        <f t="shared" ca="1" si="69"/>
        <v>0</v>
      </c>
      <c r="D350" s="335"/>
      <c r="E350" s="336">
        <f t="shared" ca="1" si="70"/>
        <v>0</v>
      </c>
      <c r="F350" s="336">
        <f t="shared" ca="1" si="71"/>
        <v>0</v>
      </c>
      <c r="G350" s="343">
        <f t="shared" ca="1" si="72"/>
        <v>0</v>
      </c>
      <c r="H350" s="336">
        <f t="shared" ca="1" si="73"/>
        <v>0</v>
      </c>
      <c r="I350" s="337">
        <f t="shared" ca="1" si="74"/>
        <v>0</v>
      </c>
    </row>
    <row r="351" spans="1:9">
      <c r="A351" s="335">
        <f t="shared" si="75"/>
        <v>334</v>
      </c>
      <c r="B351" s="340">
        <f t="shared" si="76"/>
        <v>56431</v>
      </c>
      <c r="C351" s="336">
        <f t="shared" ca="1" si="69"/>
        <v>0</v>
      </c>
      <c r="D351" s="335"/>
      <c r="E351" s="336">
        <f t="shared" ca="1" si="70"/>
        <v>0</v>
      </c>
      <c r="F351" s="336">
        <f t="shared" ca="1" si="71"/>
        <v>0</v>
      </c>
      <c r="G351" s="343">
        <f t="shared" ca="1" si="72"/>
        <v>0</v>
      </c>
      <c r="H351" s="336">
        <f t="shared" ca="1" si="73"/>
        <v>0</v>
      </c>
      <c r="I351" s="337">
        <f t="shared" ca="1" si="74"/>
        <v>0</v>
      </c>
    </row>
    <row r="352" spans="1:9">
      <c r="A352" s="335">
        <f t="shared" si="75"/>
        <v>335</v>
      </c>
      <c r="B352" s="340">
        <f t="shared" si="76"/>
        <v>56462</v>
      </c>
      <c r="C352" s="336">
        <f t="shared" ca="1" si="69"/>
        <v>0</v>
      </c>
      <c r="D352" s="335"/>
      <c r="E352" s="336">
        <f t="shared" ca="1" si="70"/>
        <v>0</v>
      </c>
      <c r="F352" s="336">
        <f t="shared" ca="1" si="71"/>
        <v>0</v>
      </c>
      <c r="G352" s="343">
        <f t="shared" ca="1" si="72"/>
        <v>0</v>
      </c>
      <c r="H352" s="336">
        <f t="shared" ca="1" si="73"/>
        <v>0</v>
      </c>
      <c r="I352" s="337">
        <f t="shared" ca="1" si="74"/>
        <v>0</v>
      </c>
    </row>
    <row r="353" spans="1:9">
      <c r="A353" s="335">
        <f t="shared" si="75"/>
        <v>336</v>
      </c>
      <c r="B353" s="340">
        <f t="shared" si="76"/>
        <v>56493</v>
      </c>
      <c r="C353" s="336">
        <f t="shared" ca="1" si="69"/>
        <v>0</v>
      </c>
      <c r="D353" s="336">
        <f ca="1">IF(H309&lt;0,0,(K45-L45)/11)</f>
        <v>223492.63636363635</v>
      </c>
      <c r="E353" s="336">
        <f t="shared" ca="1" si="70"/>
        <v>0</v>
      </c>
      <c r="F353" s="336">
        <f t="shared" ca="1" si="71"/>
        <v>0</v>
      </c>
      <c r="G353" s="343">
        <f t="shared" ca="1" si="72"/>
        <v>0</v>
      </c>
      <c r="H353" s="336">
        <f t="shared" ca="1" si="73"/>
        <v>0</v>
      </c>
      <c r="I353" s="337">
        <f t="shared" ca="1" si="74"/>
        <v>223493</v>
      </c>
    </row>
    <row r="354" spans="1:9">
      <c r="A354" s="335">
        <f t="shared" si="75"/>
        <v>337</v>
      </c>
      <c r="B354" s="340">
        <f t="shared" si="76"/>
        <v>56523</v>
      </c>
      <c r="C354" s="336">
        <f t="shared" ca="1" si="69"/>
        <v>0</v>
      </c>
      <c r="D354" s="335"/>
      <c r="E354" s="336">
        <f t="shared" si="70"/>
        <v>0</v>
      </c>
      <c r="F354" s="336">
        <f t="shared" ca="1" si="71"/>
        <v>0</v>
      </c>
      <c r="G354" s="343">
        <f t="shared" ca="1" si="72"/>
        <v>0</v>
      </c>
      <c r="H354" s="336">
        <f t="shared" ca="1" si="73"/>
        <v>0</v>
      </c>
      <c r="I354" s="337">
        <f t="shared" ca="1" si="74"/>
        <v>0</v>
      </c>
    </row>
    <row r="355" spans="1:9">
      <c r="A355" s="335">
        <f t="shared" si="75"/>
        <v>338</v>
      </c>
      <c r="B355" s="340">
        <f t="shared" si="76"/>
        <v>56554</v>
      </c>
      <c r="C355" s="336">
        <f t="shared" ca="1" si="69"/>
        <v>0</v>
      </c>
      <c r="D355" s="335"/>
      <c r="E355" s="336">
        <f t="shared" ca="1" si="70"/>
        <v>0</v>
      </c>
      <c r="F355" s="336">
        <f t="shared" ca="1" si="71"/>
        <v>0</v>
      </c>
      <c r="G355" s="343">
        <f t="shared" ca="1" si="72"/>
        <v>0</v>
      </c>
      <c r="H355" s="336">
        <f t="shared" ca="1" si="73"/>
        <v>0</v>
      </c>
      <c r="I355" s="337">
        <f t="shared" ca="1" si="74"/>
        <v>0</v>
      </c>
    </row>
    <row r="356" spans="1:9">
      <c r="A356" s="335">
        <f t="shared" si="75"/>
        <v>339</v>
      </c>
      <c r="B356" s="340">
        <f t="shared" si="76"/>
        <v>56584</v>
      </c>
      <c r="C356" s="336">
        <f t="shared" ca="1" si="69"/>
        <v>0</v>
      </c>
      <c r="D356" s="335"/>
      <c r="E356" s="336">
        <f t="shared" ca="1" si="70"/>
        <v>0</v>
      </c>
      <c r="F356" s="336">
        <f t="shared" ca="1" si="71"/>
        <v>0</v>
      </c>
      <c r="G356" s="343">
        <f t="shared" ca="1" si="72"/>
        <v>0</v>
      </c>
      <c r="H356" s="336">
        <f t="shared" ca="1" si="73"/>
        <v>0</v>
      </c>
      <c r="I356" s="337">
        <f t="shared" ca="1" si="74"/>
        <v>0</v>
      </c>
    </row>
    <row r="357" spans="1:9">
      <c r="A357" s="335">
        <f t="shared" si="75"/>
        <v>340</v>
      </c>
      <c r="B357" s="340">
        <f t="shared" si="76"/>
        <v>56615</v>
      </c>
      <c r="C357" s="336">
        <f t="shared" ca="1" si="69"/>
        <v>0</v>
      </c>
      <c r="D357" s="335"/>
      <c r="E357" s="336">
        <f t="shared" ca="1" si="70"/>
        <v>0</v>
      </c>
      <c r="F357" s="336">
        <f t="shared" ca="1" si="71"/>
        <v>0</v>
      </c>
      <c r="G357" s="343">
        <f t="shared" ca="1" si="72"/>
        <v>0</v>
      </c>
      <c r="H357" s="336">
        <f t="shared" ca="1" si="73"/>
        <v>0</v>
      </c>
      <c r="I357" s="337">
        <f t="shared" ca="1" si="74"/>
        <v>0</v>
      </c>
    </row>
    <row r="358" spans="1:9">
      <c r="A358" s="335">
        <f t="shared" si="75"/>
        <v>341</v>
      </c>
      <c r="B358" s="340">
        <f t="shared" si="76"/>
        <v>56646</v>
      </c>
      <c r="C358" s="336">
        <f t="shared" ca="1" si="69"/>
        <v>0</v>
      </c>
      <c r="D358" s="335"/>
      <c r="E358" s="336">
        <f t="shared" ca="1" si="70"/>
        <v>0</v>
      </c>
      <c r="F358" s="336">
        <f t="shared" ca="1" si="71"/>
        <v>0</v>
      </c>
      <c r="G358" s="343">
        <f t="shared" ca="1" si="72"/>
        <v>0</v>
      </c>
      <c r="H358" s="336">
        <f t="shared" ca="1" si="73"/>
        <v>0</v>
      </c>
      <c r="I358" s="337">
        <f t="shared" ca="1" si="74"/>
        <v>0</v>
      </c>
    </row>
    <row r="359" spans="1:9">
      <c r="A359" s="335">
        <f t="shared" si="75"/>
        <v>342</v>
      </c>
      <c r="B359" s="340">
        <f t="shared" si="76"/>
        <v>56674</v>
      </c>
      <c r="C359" s="336">
        <f t="shared" ca="1" si="69"/>
        <v>0</v>
      </c>
      <c r="D359" s="335"/>
      <c r="E359" s="336">
        <f t="shared" ca="1" si="70"/>
        <v>0</v>
      </c>
      <c r="F359" s="336">
        <f t="shared" ca="1" si="71"/>
        <v>0</v>
      </c>
      <c r="G359" s="343">
        <f t="shared" ca="1" si="72"/>
        <v>0</v>
      </c>
      <c r="H359" s="336">
        <f t="shared" ca="1" si="73"/>
        <v>0</v>
      </c>
      <c r="I359" s="337">
        <f t="shared" ca="1" si="74"/>
        <v>0</v>
      </c>
    </row>
    <row r="360" spans="1:9">
      <c r="A360" s="335">
        <f t="shared" si="75"/>
        <v>343</v>
      </c>
      <c r="B360" s="340">
        <f t="shared" si="76"/>
        <v>56705</v>
      </c>
      <c r="C360" s="336">
        <f t="shared" ca="1" si="69"/>
        <v>0</v>
      </c>
      <c r="D360" s="335"/>
      <c r="E360" s="336">
        <f t="shared" ca="1" si="70"/>
        <v>0</v>
      </c>
      <c r="F360" s="336">
        <f t="shared" ca="1" si="71"/>
        <v>0</v>
      </c>
      <c r="G360" s="343">
        <f t="shared" ca="1" si="72"/>
        <v>0</v>
      </c>
      <c r="H360" s="336">
        <f t="shared" ca="1" si="73"/>
        <v>0</v>
      </c>
      <c r="I360" s="337">
        <f t="shared" ca="1" si="74"/>
        <v>0</v>
      </c>
    </row>
    <row r="361" spans="1:9">
      <c r="A361" s="335">
        <f t="shared" si="75"/>
        <v>344</v>
      </c>
      <c r="B361" s="340">
        <f t="shared" si="76"/>
        <v>56735</v>
      </c>
      <c r="C361" s="336">
        <f t="shared" ca="1" si="69"/>
        <v>0</v>
      </c>
      <c r="D361" s="335"/>
      <c r="E361" s="336">
        <f t="shared" ca="1" si="70"/>
        <v>0</v>
      </c>
      <c r="F361" s="336">
        <f t="shared" ca="1" si="71"/>
        <v>0</v>
      </c>
      <c r="G361" s="343">
        <f t="shared" ca="1" si="72"/>
        <v>0</v>
      </c>
      <c r="H361" s="336">
        <f t="shared" ca="1" si="73"/>
        <v>0</v>
      </c>
      <c r="I361" s="337">
        <f t="shared" ca="1" si="74"/>
        <v>0</v>
      </c>
    </row>
    <row r="362" spans="1:9">
      <c r="A362" s="335">
        <f t="shared" si="75"/>
        <v>345</v>
      </c>
      <c r="B362" s="340">
        <f t="shared" si="76"/>
        <v>56766</v>
      </c>
      <c r="C362" s="336">
        <f t="shared" ca="1" si="69"/>
        <v>0</v>
      </c>
      <c r="D362" s="335"/>
      <c r="E362" s="336">
        <f t="shared" ca="1" si="70"/>
        <v>0</v>
      </c>
      <c r="F362" s="336">
        <f t="shared" ca="1" si="71"/>
        <v>0</v>
      </c>
      <c r="G362" s="343">
        <f t="shared" ca="1" si="72"/>
        <v>0</v>
      </c>
      <c r="H362" s="336">
        <f t="shared" ca="1" si="73"/>
        <v>0</v>
      </c>
      <c r="I362" s="337">
        <f t="shared" ca="1" si="74"/>
        <v>0</v>
      </c>
    </row>
    <row r="363" spans="1:9">
      <c r="A363" s="335">
        <f t="shared" si="75"/>
        <v>346</v>
      </c>
      <c r="B363" s="340">
        <f t="shared" si="76"/>
        <v>56796</v>
      </c>
      <c r="C363" s="336">
        <f t="shared" ca="1" si="69"/>
        <v>0</v>
      </c>
      <c r="D363" s="335"/>
      <c r="E363" s="336">
        <f t="shared" ca="1" si="70"/>
        <v>0</v>
      </c>
      <c r="F363" s="336">
        <f t="shared" ca="1" si="71"/>
        <v>0</v>
      </c>
      <c r="G363" s="343">
        <f t="shared" ca="1" si="72"/>
        <v>0</v>
      </c>
      <c r="H363" s="336">
        <f t="shared" ca="1" si="73"/>
        <v>0</v>
      </c>
      <c r="I363" s="337">
        <f t="shared" ca="1" si="74"/>
        <v>0</v>
      </c>
    </row>
    <row r="364" spans="1:9">
      <c r="A364" s="335">
        <f t="shared" si="75"/>
        <v>347</v>
      </c>
      <c r="B364" s="340">
        <f t="shared" si="76"/>
        <v>56827</v>
      </c>
      <c r="C364" s="336">
        <f t="shared" ca="1" si="69"/>
        <v>0</v>
      </c>
      <c r="D364" s="335"/>
      <c r="E364" s="336">
        <f t="shared" ca="1" si="70"/>
        <v>0</v>
      </c>
      <c r="F364" s="336">
        <f t="shared" ca="1" si="71"/>
        <v>0</v>
      </c>
      <c r="G364" s="343">
        <f t="shared" ca="1" si="72"/>
        <v>0</v>
      </c>
      <c r="H364" s="336">
        <f t="shared" ca="1" si="73"/>
        <v>0</v>
      </c>
      <c r="I364" s="337">
        <f t="shared" ca="1" si="74"/>
        <v>0</v>
      </c>
    </row>
    <row r="365" spans="1:9">
      <c r="A365" s="335">
        <f t="shared" si="75"/>
        <v>348</v>
      </c>
      <c r="B365" s="340">
        <f t="shared" si="76"/>
        <v>56858</v>
      </c>
      <c r="C365" s="336">
        <f t="shared" ca="1" si="69"/>
        <v>0</v>
      </c>
      <c r="D365" s="336">
        <f ca="1">IF(H310&lt;0,0,(K46-L46)/11)</f>
        <v>223492.63636363635</v>
      </c>
      <c r="E365" s="336">
        <f t="shared" ca="1" si="70"/>
        <v>0</v>
      </c>
      <c r="F365" s="336">
        <f t="shared" ca="1" si="71"/>
        <v>0</v>
      </c>
      <c r="G365" s="343">
        <f t="shared" ca="1" si="72"/>
        <v>0</v>
      </c>
      <c r="H365" s="336">
        <f t="shared" ca="1" si="73"/>
        <v>0</v>
      </c>
      <c r="I365" s="337">
        <f t="shared" ca="1" si="74"/>
        <v>223493</v>
      </c>
    </row>
    <row r="366" spans="1:9">
      <c r="A366" s="335">
        <f t="shared" si="75"/>
        <v>349</v>
      </c>
      <c r="B366" s="340">
        <f t="shared" si="76"/>
        <v>56888</v>
      </c>
      <c r="C366" s="336">
        <f t="shared" ca="1" si="69"/>
        <v>0</v>
      </c>
      <c r="D366" s="336"/>
      <c r="E366" s="336">
        <f t="shared" si="70"/>
        <v>0</v>
      </c>
      <c r="F366" s="336">
        <f t="shared" ca="1" si="71"/>
        <v>0</v>
      </c>
      <c r="G366" s="343">
        <f t="shared" ca="1" si="72"/>
        <v>0</v>
      </c>
      <c r="H366" s="336">
        <f t="shared" ca="1" si="73"/>
        <v>0</v>
      </c>
      <c r="I366" s="337">
        <f t="shared" ca="1" si="74"/>
        <v>0</v>
      </c>
    </row>
    <row r="367" spans="1:9">
      <c r="A367" s="335">
        <f t="shared" si="75"/>
        <v>350</v>
      </c>
      <c r="B367" s="340">
        <f t="shared" si="76"/>
        <v>56919</v>
      </c>
      <c r="C367" s="336">
        <f t="shared" ca="1" si="69"/>
        <v>0</v>
      </c>
      <c r="D367" s="335"/>
      <c r="E367" s="336">
        <f t="shared" ca="1" si="70"/>
        <v>0</v>
      </c>
      <c r="F367" s="336">
        <f t="shared" ca="1" si="71"/>
        <v>0</v>
      </c>
      <c r="G367" s="343">
        <f t="shared" ca="1" si="72"/>
        <v>0</v>
      </c>
      <c r="H367" s="336">
        <f t="shared" ca="1" si="73"/>
        <v>0</v>
      </c>
      <c r="I367" s="337">
        <f t="shared" ca="1" si="74"/>
        <v>0</v>
      </c>
    </row>
    <row r="368" spans="1:9">
      <c r="A368" s="335">
        <f t="shared" si="75"/>
        <v>351</v>
      </c>
      <c r="B368" s="340">
        <f t="shared" si="76"/>
        <v>56949</v>
      </c>
      <c r="C368" s="336">
        <f t="shared" ca="1" si="69"/>
        <v>0</v>
      </c>
      <c r="D368" s="335"/>
      <c r="E368" s="336">
        <f t="shared" ca="1" si="70"/>
        <v>0</v>
      </c>
      <c r="F368" s="336">
        <f t="shared" ca="1" si="71"/>
        <v>0</v>
      </c>
      <c r="G368" s="343">
        <f t="shared" ca="1" si="72"/>
        <v>0</v>
      </c>
      <c r="H368" s="336">
        <f t="shared" ca="1" si="73"/>
        <v>0</v>
      </c>
      <c r="I368" s="337">
        <f t="shared" ca="1" si="74"/>
        <v>0</v>
      </c>
    </row>
    <row r="369" spans="1:9">
      <c r="A369" s="335">
        <f t="shared" si="75"/>
        <v>352</v>
      </c>
      <c r="B369" s="340">
        <f t="shared" si="76"/>
        <v>56980</v>
      </c>
      <c r="C369" s="336">
        <f t="shared" ca="1" si="69"/>
        <v>0</v>
      </c>
      <c r="D369" s="335"/>
      <c r="E369" s="336">
        <f t="shared" ca="1" si="70"/>
        <v>0</v>
      </c>
      <c r="F369" s="336">
        <f t="shared" ca="1" si="71"/>
        <v>0</v>
      </c>
      <c r="G369" s="343">
        <f t="shared" ca="1" si="72"/>
        <v>0</v>
      </c>
      <c r="H369" s="336">
        <f t="shared" ca="1" si="73"/>
        <v>0</v>
      </c>
      <c r="I369" s="337">
        <f t="shared" ca="1" si="74"/>
        <v>0</v>
      </c>
    </row>
    <row r="370" spans="1:9">
      <c r="A370" s="335">
        <f t="shared" si="75"/>
        <v>353</v>
      </c>
      <c r="B370" s="340">
        <f t="shared" si="76"/>
        <v>57011</v>
      </c>
      <c r="C370" s="336">
        <f t="shared" ca="1" si="69"/>
        <v>0</v>
      </c>
      <c r="D370" s="335"/>
      <c r="E370" s="336">
        <f t="shared" ca="1" si="70"/>
        <v>0</v>
      </c>
      <c r="F370" s="336">
        <f t="shared" ca="1" si="71"/>
        <v>0</v>
      </c>
      <c r="G370" s="343">
        <f t="shared" ca="1" si="72"/>
        <v>0</v>
      </c>
      <c r="H370" s="336">
        <f t="shared" ca="1" si="73"/>
        <v>0</v>
      </c>
      <c r="I370" s="337">
        <f t="shared" ca="1" si="74"/>
        <v>0</v>
      </c>
    </row>
    <row r="371" spans="1:9">
      <c r="A371" s="335">
        <f t="shared" si="75"/>
        <v>354</v>
      </c>
      <c r="B371" s="340">
        <f t="shared" si="76"/>
        <v>57040</v>
      </c>
      <c r="C371" s="336">
        <f t="shared" ca="1" si="69"/>
        <v>0</v>
      </c>
      <c r="D371" s="335"/>
      <c r="E371" s="336">
        <f t="shared" ca="1" si="70"/>
        <v>0</v>
      </c>
      <c r="F371" s="336">
        <f t="shared" ca="1" si="71"/>
        <v>0</v>
      </c>
      <c r="G371" s="343">
        <f t="shared" ca="1" si="72"/>
        <v>0</v>
      </c>
      <c r="H371" s="336">
        <f t="shared" ca="1" si="73"/>
        <v>0</v>
      </c>
      <c r="I371" s="337">
        <f t="shared" ca="1" si="74"/>
        <v>0</v>
      </c>
    </row>
    <row r="372" spans="1:9">
      <c r="A372" s="335">
        <f t="shared" si="75"/>
        <v>355</v>
      </c>
      <c r="B372" s="340">
        <f t="shared" si="76"/>
        <v>57071</v>
      </c>
      <c r="C372" s="336">
        <f t="shared" ca="1" si="69"/>
        <v>0</v>
      </c>
      <c r="D372" s="335"/>
      <c r="E372" s="336">
        <f t="shared" ca="1" si="70"/>
        <v>0</v>
      </c>
      <c r="F372" s="336">
        <f t="shared" ca="1" si="71"/>
        <v>0</v>
      </c>
      <c r="G372" s="343">
        <f t="shared" ca="1" si="72"/>
        <v>0</v>
      </c>
      <c r="H372" s="336">
        <f t="shared" ca="1" si="73"/>
        <v>0</v>
      </c>
      <c r="I372" s="337">
        <f t="shared" ca="1" si="74"/>
        <v>0</v>
      </c>
    </row>
    <row r="373" spans="1:9">
      <c r="A373" s="335">
        <f t="shared" si="75"/>
        <v>356</v>
      </c>
      <c r="B373" s="340">
        <f t="shared" si="76"/>
        <v>57101</v>
      </c>
      <c r="C373" s="336">
        <f t="shared" ca="1" si="69"/>
        <v>0</v>
      </c>
      <c r="D373" s="335"/>
      <c r="E373" s="336">
        <f t="shared" ca="1" si="70"/>
        <v>0</v>
      </c>
      <c r="F373" s="336">
        <f t="shared" ca="1" si="71"/>
        <v>0</v>
      </c>
      <c r="G373" s="343">
        <f t="shared" ca="1" si="72"/>
        <v>0</v>
      </c>
      <c r="H373" s="336">
        <f t="shared" ca="1" si="73"/>
        <v>0</v>
      </c>
      <c r="I373" s="337">
        <f t="shared" ca="1" si="74"/>
        <v>0</v>
      </c>
    </row>
    <row r="374" spans="1:9">
      <c r="A374" s="335">
        <f t="shared" si="75"/>
        <v>357</v>
      </c>
      <c r="B374" s="340">
        <f t="shared" si="76"/>
        <v>57132</v>
      </c>
      <c r="C374" s="336">
        <f t="shared" ca="1" si="69"/>
        <v>0</v>
      </c>
      <c r="D374" s="335"/>
      <c r="E374" s="336">
        <f t="shared" ca="1" si="70"/>
        <v>0</v>
      </c>
      <c r="F374" s="336">
        <f t="shared" ca="1" si="71"/>
        <v>0</v>
      </c>
      <c r="G374" s="343">
        <f t="shared" ca="1" si="72"/>
        <v>0</v>
      </c>
      <c r="H374" s="336">
        <f t="shared" ca="1" si="73"/>
        <v>0</v>
      </c>
      <c r="I374" s="337">
        <f t="shared" ca="1" si="74"/>
        <v>0</v>
      </c>
    </row>
    <row r="375" spans="1:9">
      <c r="A375" s="335">
        <f t="shared" si="75"/>
        <v>358</v>
      </c>
      <c r="B375" s="340">
        <f t="shared" si="76"/>
        <v>57162</v>
      </c>
      <c r="C375" s="336">
        <f t="shared" ca="1" si="69"/>
        <v>0</v>
      </c>
      <c r="D375" s="335"/>
      <c r="E375" s="336">
        <f t="shared" ca="1" si="70"/>
        <v>0</v>
      </c>
      <c r="F375" s="336">
        <f t="shared" ca="1" si="71"/>
        <v>0</v>
      </c>
      <c r="G375" s="343">
        <f t="shared" ca="1" si="72"/>
        <v>0</v>
      </c>
      <c r="H375" s="336">
        <f t="shared" ca="1" si="73"/>
        <v>0</v>
      </c>
      <c r="I375" s="337">
        <f t="shared" ca="1" si="74"/>
        <v>0</v>
      </c>
    </row>
    <row r="376" spans="1:9">
      <c r="A376" s="335">
        <f t="shared" si="75"/>
        <v>359</v>
      </c>
      <c r="B376" s="340">
        <f t="shared" si="76"/>
        <v>57193</v>
      </c>
      <c r="C376" s="336">
        <f t="shared" ca="1" si="69"/>
        <v>0</v>
      </c>
      <c r="D376" s="335"/>
      <c r="E376" s="336">
        <f t="shared" ca="1" si="70"/>
        <v>0</v>
      </c>
      <c r="F376" s="336">
        <f t="shared" ca="1" si="71"/>
        <v>0</v>
      </c>
      <c r="G376" s="343">
        <f t="shared" ca="1" si="72"/>
        <v>0</v>
      </c>
      <c r="H376" s="336">
        <f t="shared" ca="1" si="73"/>
        <v>0</v>
      </c>
      <c r="I376" s="337">
        <f t="shared" ca="1" si="74"/>
        <v>0</v>
      </c>
    </row>
    <row r="377" spans="1:9">
      <c r="A377" s="335">
        <f t="shared" si="75"/>
        <v>360</v>
      </c>
      <c r="B377" s="340">
        <f t="shared" si="76"/>
        <v>57224</v>
      </c>
      <c r="C377" s="336">
        <f t="shared" ca="1" si="69"/>
        <v>0</v>
      </c>
      <c r="D377" s="336">
        <f ca="1">IF(H311&lt;0,0,(K47-L47)/11)</f>
        <v>223492.63636363635</v>
      </c>
      <c r="E377" s="336">
        <f t="shared" ca="1" si="70"/>
        <v>0</v>
      </c>
      <c r="F377" s="336">
        <f t="shared" ca="1" si="71"/>
        <v>0</v>
      </c>
      <c r="G377" s="343">
        <f t="shared" ca="1" si="72"/>
        <v>0</v>
      </c>
      <c r="H377" s="336">
        <f t="shared" ca="1" si="73"/>
        <v>0</v>
      </c>
      <c r="I377" s="337">
        <f t="shared" ca="1" si="74"/>
        <v>223493</v>
      </c>
    </row>
    <row r="378" spans="1:9">
      <c r="A378" s="335">
        <f t="shared" si="75"/>
        <v>361</v>
      </c>
      <c r="B378" s="340">
        <f t="shared" si="76"/>
        <v>57254</v>
      </c>
      <c r="C378" s="336">
        <f t="shared" ca="1" si="69"/>
        <v>0</v>
      </c>
      <c r="D378" s="335"/>
      <c r="E378" s="336">
        <f t="shared" si="70"/>
        <v>0</v>
      </c>
      <c r="F378" s="336">
        <f t="shared" ca="1" si="71"/>
        <v>0</v>
      </c>
      <c r="G378" s="343">
        <f t="shared" ca="1" si="72"/>
        <v>0</v>
      </c>
      <c r="H378" s="336">
        <f t="shared" ca="1" si="73"/>
        <v>0</v>
      </c>
      <c r="I378" s="337">
        <f t="shared" ca="1" si="74"/>
        <v>0</v>
      </c>
    </row>
    <row r="379" spans="1:9">
      <c r="A379" s="335">
        <f t="shared" si="75"/>
        <v>362</v>
      </c>
      <c r="B379" s="340">
        <f t="shared" si="76"/>
        <v>57285</v>
      </c>
      <c r="C379" s="336">
        <f t="shared" ca="1" si="69"/>
        <v>0</v>
      </c>
      <c r="D379" s="335"/>
      <c r="E379" s="336">
        <f t="shared" ca="1" si="70"/>
        <v>0</v>
      </c>
      <c r="F379" s="336">
        <f t="shared" ca="1" si="71"/>
        <v>0</v>
      </c>
      <c r="G379" s="343">
        <f t="shared" ca="1" si="72"/>
        <v>0</v>
      </c>
      <c r="H379" s="336">
        <f t="shared" ca="1" si="73"/>
        <v>0</v>
      </c>
      <c r="I379" s="337">
        <f t="shared" ca="1" si="74"/>
        <v>0</v>
      </c>
    </row>
    <row r="380" spans="1:9">
      <c r="A380" s="335">
        <f t="shared" si="75"/>
        <v>363</v>
      </c>
      <c r="B380" s="340">
        <f t="shared" si="76"/>
        <v>57315</v>
      </c>
      <c r="C380" s="336">
        <f t="shared" ca="1" si="69"/>
        <v>0</v>
      </c>
      <c r="D380" s="335"/>
      <c r="E380" s="336">
        <f t="shared" ca="1" si="70"/>
        <v>0</v>
      </c>
      <c r="F380" s="336">
        <f t="shared" ca="1" si="71"/>
        <v>0</v>
      </c>
      <c r="G380" s="343">
        <f t="shared" ca="1" si="72"/>
        <v>0</v>
      </c>
      <c r="H380" s="336">
        <f t="shared" ca="1" si="73"/>
        <v>0</v>
      </c>
      <c r="I380" s="337">
        <f t="shared" ca="1" si="74"/>
        <v>0</v>
      </c>
    </row>
    <row r="381" spans="1:9">
      <c r="A381" s="335">
        <f t="shared" si="75"/>
        <v>364</v>
      </c>
      <c r="B381" s="340">
        <f t="shared" si="76"/>
        <v>57346</v>
      </c>
      <c r="C381" s="336">
        <f t="shared" ca="1" si="69"/>
        <v>0</v>
      </c>
      <c r="D381" s="335"/>
      <c r="E381" s="336">
        <f t="shared" ca="1" si="70"/>
        <v>0</v>
      </c>
      <c r="F381" s="336">
        <f t="shared" ca="1" si="71"/>
        <v>0</v>
      </c>
      <c r="G381" s="343">
        <f t="shared" ca="1" si="72"/>
        <v>0</v>
      </c>
      <c r="H381" s="336">
        <f t="shared" ca="1" si="73"/>
        <v>0</v>
      </c>
      <c r="I381" s="337">
        <f t="shared" ca="1" si="74"/>
        <v>0</v>
      </c>
    </row>
    <row r="382" spans="1:9">
      <c r="A382" s="335">
        <f t="shared" si="75"/>
        <v>365</v>
      </c>
      <c r="B382" s="340">
        <f t="shared" si="76"/>
        <v>57377</v>
      </c>
      <c r="C382" s="336">
        <f t="shared" ref="C382:C445" ca="1" si="77">IF(H381=0,0,H381)</f>
        <v>0</v>
      </c>
      <c r="D382" s="335"/>
      <c r="E382" s="336">
        <f t="shared" ref="E382:E445" ca="1" si="78">IF($D$10=1,
 IF(OR(MONTH(B382)=MONTH(EDATE($D$7,0)),MONTH(B382)=MONTH(EDATE($D$7,1)),MONTH(B382)=MONTH(EDATE($D$7,2)),MONTH(B382)=MONTH(EDATE($D$7,3)), MONTH(B382)=MONTH(EDATE($D$7,4)),MONTH(B382)=MONTH(EDATE($D$7,5)),MONTH(B382)=MONTH(EDATE($D$7,6)),MONTH(B382)=MONTH(EDATE($D$7,7)),MONTH(B382)=MONTH(EDATE($D$7,8)),MONTH(B382)=MONTH(EDATE($D$7,9)),MONTH(B382)=MONTH(EDATE($D$7,10))),(MIN( $D$305,H381)),0),
IF($D$10=0,
 IF(OR(MONTH(B382)=MONTH(EDATE($D$7,1)),MONTH(B382)=MONTH(EDATE($D$7,2)),MONTH(B382)=MONTH(EDATE($D$7,3)),MONTH(B382)=MONTH(EDATE($D$7,4)), MONTH(B382)=MONTH(EDATE($D$7,5)),MONTH(B382)=MONTH(EDATE($D$7,6)),MONTH(B382)=MONTH(EDATE($D$7,7)),MONTH(B382)=MONTH(EDATE($D$7,8)),MONTH(B382)=MONTH(EDATE($D$7,9)),MONTH(B382)=MONTH(EDATE($D$7,10)),MONTH(B382)=MONTH(EDATE($D$7,11))),(MIN( $D$305,H381)),0)))</f>
        <v>0</v>
      </c>
      <c r="F382" s="336">
        <f t="shared" ref="F382:F445" ca="1" si="79">IF(E382="","",E382-G382)</f>
        <v>0</v>
      </c>
      <c r="G382" s="343">
        <f t="shared" ref="G382:G445" ca="1" si="80">ROUND((C382-E382)*$D$5,3)</f>
        <v>0</v>
      </c>
      <c r="H382" s="336">
        <f t="shared" ref="H382:H445" ca="1" si="81">IF(E382="","",ROUND(H381-F382,4))</f>
        <v>0</v>
      </c>
      <c r="I382" s="337">
        <f t="shared" ref="I382:I445" ca="1" si="82">ROUND((D382-H382),0)</f>
        <v>0</v>
      </c>
    </row>
    <row r="383" spans="1:9">
      <c r="A383" s="335">
        <f t="shared" si="75"/>
        <v>366</v>
      </c>
      <c r="B383" s="340">
        <f t="shared" si="76"/>
        <v>57405</v>
      </c>
      <c r="C383" s="336">
        <f t="shared" ca="1" si="77"/>
        <v>0</v>
      </c>
      <c r="D383" s="335"/>
      <c r="E383" s="336">
        <f t="shared" ca="1" si="78"/>
        <v>0</v>
      </c>
      <c r="F383" s="336">
        <f t="shared" ca="1" si="79"/>
        <v>0</v>
      </c>
      <c r="G383" s="343">
        <f t="shared" ca="1" si="80"/>
        <v>0</v>
      </c>
      <c r="H383" s="336">
        <f t="shared" ca="1" si="81"/>
        <v>0</v>
      </c>
      <c r="I383" s="337">
        <f t="shared" ca="1" si="82"/>
        <v>0</v>
      </c>
    </row>
    <row r="384" spans="1:9">
      <c r="A384" s="335">
        <f t="shared" si="75"/>
        <v>367</v>
      </c>
      <c r="B384" s="340">
        <f t="shared" si="76"/>
        <v>57436</v>
      </c>
      <c r="C384" s="336">
        <f t="shared" ca="1" si="77"/>
        <v>0</v>
      </c>
      <c r="D384" s="335"/>
      <c r="E384" s="336">
        <f t="shared" ca="1" si="78"/>
        <v>0</v>
      </c>
      <c r="F384" s="336">
        <f t="shared" ca="1" si="79"/>
        <v>0</v>
      </c>
      <c r="G384" s="343">
        <f t="shared" ca="1" si="80"/>
        <v>0</v>
      </c>
      <c r="H384" s="336">
        <f t="shared" ca="1" si="81"/>
        <v>0</v>
      </c>
      <c r="I384" s="337">
        <f t="shared" ca="1" si="82"/>
        <v>0</v>
      </c>
    </row>
    <row r="385" spans="1:9">
      <c r="A385" s="335">
        <f t="shared" si="75"/>
        <v>368</v>
      </c>
      <c r="B385" s="340">
        <f t="shared" si="76"/>
        <v>57466</v>
      </c>
      <c r="C385" s="336">
        <f t="shared" ca="1" si="77"/>
        <v>0</v>
      </c>
      <c r="D385" s="335"/>
      <c r="E385" s="336">
        <f t="shared" ca="1" si="78"/>
        <v>0</v>
      </c>
      <c r="F385" s="336">
        <f t="shared" ca="1" si="79"/>
        <v>0</v>
      </c>
      <c r="G385" s="343">
        <f t="shared" ca="1" si="80"/>
        <v>0</v>
      </c>
      <c r="H385" s="336">
        <f t="shared" ca="1" si="81"/>
        <v>0</v>
      </c>
      <c r="I385" s="337">
        <f t="shared" ca="1" si="82"/>
        <v>0</v>
      </c>
    </row>
    <row r="386" spans="1:9">
      <c r="A386" s="335">
        <f t="shared" si="75"/>
        <v>369</v>
      </c>
      <c r="B386" s="340">
        <f t="shared" si="76"/>
        <v>57497</v>
      </c>
      <c r="C386" s="336">
        <f t="shared" ca="1" si="77"/>
        <v>0</v>
      </c>
      <c r="D386" s="335"/>
      <c r="E386" s="336">
        <f t="shared" ca="1" si="78"/>
        <v>0</v>
      </c>
      <c r="F386" s="336">
        <f t="shared" ca="1" si="79"/>
        <v>0</v>
      </c>
      <c r="G386" s="343">
        <f t="shared" ca="1" si="80"/>
        <v>0</v>
      </c>
      <c r="H386" s="336">
        <f t="shared" ca="1" si="81"/>
        <v>0</v>
      </c>
      <c r="I386" s="337">
        <f t="shared" ca="1" si="82"/>
        <v>0</v>
      </c>
    </row>
    <row r="387" spans="1:9">
      <c r="A387" s="335">
        <f t="shared" si="75"/>
        <v>370</v>
      </c>
      <c r="B387" s="340">
        <f t="shared" si="76"/>
        <v>57527</v>
      </c>
      <c r="C387" s="336">
        <f t="shared" ca="1" si="77"/>
        <v>0</v>
      </c>
      <c r="D387" s="335"/>
      <c r="E387" s="336">
        <f t="shared" ca="1" si="78"/>
        <v>0</v>
      </c>
      <c r="F387" s="336">
        <f t="shared" ca="1" si="79"/>
        <v>0</v>
      </c>
      <c r="G387" s="343">
        <f t="shared" ca="1" si="80"/>
        <v>0</v>
      </c>
      <c r="H387" s="336">
        <f t="shared" ca="1" si="81"/>
        <v>0</v>
      </c>
      <c r="I387" s="337">
        <f t="shared" ca="1" si="82"/>
        <v>0</v>
      </c>
    </row>
    <row r="388" spans="1:9">
      <c r="A388" s="335">
        <f t="shared" si="75"/>
        <v>371</v>
      </c>
      <c r="B388" s="340">
        <f t="shared" si="76"/>
        <v>57558</v>
      </c>
      <c r="C388" s="336">
        <f t="shared" ca="1" si="77"/>
        <v>0</v>
      </c>
      <c r="D388" s="335"/>
      <c r="E388" s="336">
        <f t="shared" ca="1" si="78"/>
        <v>0</v>
      </c>
      <c r="F388" s="336">
        <f t="shared" ca="1" si="79"/>
        <v>0</v>
      </c>
      <c r="G388" s="343">
        <f t="shared" ca="1" si="80"/>
        <v>0</v>
      </c>
      <c r="H388" s="336">
        <f t="shared" ca="1" si="81"/>
        <v>0</v>
      </c>
      <c r="I388" s="337">
        <f t="shared" ca="1" si="82"/>
        <v>0</v>
      </c>
    </row>
    <row r="389" spans="1:9">
      <c r="A389" s="335">
        <f t="shared" si="75"/>
        <v>372</v>
      </c>
      <c r="B389" s="340">
        <f t="shared" si="76"/>
        <v>57589</v>
      </c>
      <c r="C389" s="336">
        <f t="shared" ca="1" si="77"/>
        <v>0</v>
      </c>
      <c r="D389" s="336">
        <f ca="1">IF(H312&lt;0,0,(K48-L48)/11)</f>
        <v>223492.63636363635</v>
      </c>
      <c r="E389" s="336">
        <f t="shared" ca="1" si="78"/>
        <v>0</v>
      </c>
      <c r="F389" s="336">
        <f t="shared" ca="1" si="79"/>
        <v>0</v>
      </c>
      <c r="G389" s="343">
        <f t="shared" ca="1" si="80"/>
        <v>0</v>
      </c>
      <c r="H389" s="336">
        <f t="shared" ca="1" si="81"/>
        <v>0</v>
      </c>
      <c r="I389" s="337">
        <f t="shared" ca="1" si="82"/>
        <v>223493</v>
      </c>
    </row>
    <row r="390" spans="1:9">
      <c r="A390" s="335">
        <f t="shared" si="75"/>
        <v>373</v>
      </c>
      <c r="B390" s="340">
        <f t="shared" si="76"/>
        <v>57619</v>
      </c>
      <c r="C390" s="336">
        <f t="shared" ca="1" si="77"/>
        <v>0</v>
      </c>
      <c r="D390" s="335"/>
      <c r="E390" s="336">
        <f t="shared" si="78"/>
        <v>0</v>
      </c>
      <c r="F390" s="336">
        <f t="shared" ca="1" si="79"/>
        <v>0</v>
      </c>
      <c r="G390" s="343">
        <f t="shared" ca="1" si="80"/>
        <v>0</v>
      </c>
      <c r="H390" s="336">
        <f t="shared" ca="1" si="81"/>
        <v>0</v>
      </c>
      <c r="I390" s="337">
        <f t="shared" ca="1" si="82"/>
        <v>0</v>
      </c>
    </row>
    <row r="391" spans="1:9">
      <c r="A391" s="335">
        <f t="shared" si="75"/>
        <v>374</v>
      </c>
      <c r="B391" s="340">
        <f t="shared" si="76"/>
        <v>57650</v>
      </c>
      <c r="C391" s="336">
        <f t="shared" ca="1" si="77"/>
        <v>0</v>
      </c>
      <c r="D391" s="335"/>
      <c r="E391" s="336">
        <f t="shared" ca="1" si="78"/>
        <v>0</v>
      </c>
      <c r="F391" s="336">
        <f t="shared" ca="1" si="79"/>
        <v>0</v>
      </c>
      <c r="G391" s="343">
        <f t="shared" ca="1" si="80"/>
        <v>0</v>
      </c>
      <c r="H391" s="336">
        <f t="shared" ca="1" si="81"/>
        <v>0</v>
      </c>
      <c r="I391" s="337">
        <f t="shared" ca="1" si="82"/>
        <v>0</v>
      </c>
    </row>
    <row r="392" spans="1:9">
      <c r="A392" s="335">
        <f t="shared" si="75"/>
        <v>375</v>
      </c>
      <c r="B392" s="340">
        <f t="shared" si="76"/>
        <v>57680</v>
      </c>
      <c r="C392" s="336">
        <f t="shared" ca="1" si="77"/>
        <v>0</v>
      </c>
      <c r="D392" s="335"/>
      <c r="E392" s="336">
        <f t="shared" ca="1" si="78"/>
        <v>0</v>
      </c>
      <c r="F392" s="336">
        <f t="shared" ca="1" si="79"/>
        <v>0</v>
      </c>
      <c r="G392" s="343">
        <f t="shared" ca="1" si="80"/>
        <v>0</v>
      </c>
      <c r="H392" s="336">
        <f t="shared" ca="1" si="81"/>
        <v>0</v>
      </c>
      <c r="I392" s="337">
        <f t="shared" ca="1" si="82"/>
        <v>0</v>
      </c>
    </row>
    <row r="393" spans="1:9">
      <c r="A393" s="335">
        <f t="shared" si="75"/>
        <v>376</v>
      </c>
      <c r="B393" s="340">
        <f t="shared" si="76"/>
        <v>57711</v>
      </c>
      <c r="C393" s="336">
        <f t="shared" ca="1" si="77"/>
        <v>0</v>
      </c>
      <c r="D393" s="335"/>
      <c r="E393" s="336">
        <f t="shared" ca="1" si="78"/>
        <v>0</v>
      </c>
      <c r="F393" s="336">
        <f t="shared" ca="1" si="79"/>
        <v>0</v>
      </c>
      <c r="G393" s="343">
        <f t="shared" ca="1" si="80"/>
        <v>0</v>
      </c>
      <c r="H393" s="336">
        <f t="shared" ca="1" si="81"/>
        <v>0</v>
      </c>
      <c r="I393" s="337">
        <f t="shared" ca="1" si="82"/>
        <v>0</v>
      </c>
    </row>
    <row r="394" spans="1:9">
      <c r="A394" s="335">
        <f t="shared" si="75"/>
        <v>377</v>
      </c>
      <c r="B394" s="340">
        <f t="shared" si="76"/>
        <v>57742</v>
      </c>
      <c r="C394" s="336">
        <f t="shared" ca="1" si="77"/>
        <v>0</v>
      </c>
      <c r="D394" s="335"/>
      <c r="E394" s="336">
        <f t="shared" ca="1" si="78"/>
        <v>0</v>
      </c>
      <c r="F394" s="336">
        <f t="shared" ca="1" si="79"/>
        <v>0</v>
      </c>
      <c r="G394" s="343">
        <f t="shared" ca="1" si="80"/>
        <v>0</v>
      </c>
      <c r="H394" s="336">
        <f t="shared" ca="1" si="81"/>
        <v>0</v>
      </c>
      <c r="I394" s="337">
        <f t="shared" ca="1" si="82"/>
        <v>0</v>
      </c>
    </row>
    <row r="395" spans="1:9">
      <c r="A395" s="335">
        <f t="shared" si="75"/>
        <v>378</v>
      </c>
      <c r="B395" s="340">
        <f t="shared" si="76"/>
        <v>57770</v>
      </c>
      <c r="C395" s="336">
        <f t="shared" ca="1" si="77"/>
        <v>0</v>
      </c>
      <c r="D395" s="335"/>
      <c r="E395" s="336">
        <f t="shared" ca="1" si="78"/>
        <v>0</v>
      </c>
      <c r="F395" s="336">
        <f t="shared" ca="1" si="79"/>
        <v>0</v>
      </c>
      <c r="G395" s="343">
        <f t="shared" ca="1" si="80"/>
        <v>0</v>
      </c>
      <c r="H395" s="336">
        <f t="shared" ca="1" si="81"/>
        <v>0</v>
      </c>
      <c r="I395" s="337">
        <f t="shared" ca="1" si="82"/>
        <v>0</v>
      </c>
    </row>
    <row r="396" spans="1:9">
      <c r="A396" s="335">
        <f t="shared" si="75"/>
        <v>379</v>
      </c>
      <c r="B396" s="340">
        <f t="shared" si="76"/>
        <v>57801</v>
      </c>
      <c r="C396" s="336">
        <f t="shared" ca="1" si="77"/>
        <v>0</v>
      </c>
      <c r="D396" s="335"/>
      <c r="E396" s="336">
        <f t="shared" ca="1" si="78"/>
        <v>0</v>
      </c>
      <c r="F396" s="336">
        <f t="shared" ca="1" si="79"/>
        <v>0</v>
      </c>
      <c r="G396" s="343">
        <f t="shared" ca="1" si="80"/>
        <v>0</v>
      </c>
      <c r="H396" s="336">
        <f t="shared" ca="1" si="81"/>
        <v>0</v>
      </c>
      <c r="I396" s="337">
        <f t="shared" ca="1" si="82"/>
        <v>0</v>
      </c>
    </row>
    <row r="397" spans="1:9">
      <c r="A397" s="335">
        <f t="shared" si="75"/>
        <v>380</v>
      </c>
      <c r="B397" s="340">
        <f t="shared" si="76"/>
        <v>57831</v>
      </c>
      <c r="C397" s="336">
        <f t="shared" ca="1" si="77"/>
        <v>0</v>
      </c>
      <c r="D397" s="335"/>
      <c r="E397" s="336">
        <f t="shared" ca="1" si="78"/>
        <v>0</v>
      </c>
      <c r="F397" s="336">
        <f t="shared" ca="1" si="79"/>
        <v>0</v>
      </c>
      <c r="G397" s="343">
        <f t="shared" ca="1" si="80"/>
        <v>0</v>
      </c>
      <c r="H397" s="336">
        <f t="shared" ca="1" si="81"/>
        <v>0</v>
      </c>
      <c r="I397" s="337">
        <f t="shared" ca="1" si="82"/>
        <v>0</v>
      </c>
    </row>
    <row r="398" spans="1:9">
      <c r="A398" s="335">
        <f t="shared" si="75"/>
        <v>381</v>
      </c>
      <c r="B398" s="340">
        <f t="shared" si="76"/>
        <v>57862</v>
      </c>
      <c r="C398" s="336">
        <f t="shared" ca="1" si="77"/>
        <v>0</v>
      </c>
      <c r="D398" s="335"/>
      <c r="E398" s="336">
        <f t="shared" ca="1" si="78"/>
        <v>0</v>
      </c>
      <c r="F398" s="336">
        <f t="shared" ca="1" si="79"/>
        <v>0</v>
      </c>
      <c r="G398" s="343">
        <f t="shared" ca="1" si="80"/>
        <v>0</v>
      </c>
      <c r="H398" s="336">
        <f t="shared" ca="1" si="81"/>
        <v>0</v>
      </c>
      <c r="I398" s="337">
        <f t="shared" ca="1" si="82"/>
        <v>0</v>
      </c>
    </row>
    <row r="399" spans="1:9">
      <c r="A399" s="335">
        <f t="shared" si="75"/>
        <v>382</v>
      </c>
      <c r="B399" s="340">
        <f t="shared" si="76"/>
        <v>57892</v>
      </c>
      <c r="C399" s="336">
        <f t="shared" ca="1" si="77"/>
        <v>0</v>
      </c>
      <c r="D399" s="335"/>
      <c r="E399" s="336">
        <f t="shared" ca="1" si="78"/>
        <v>0</v>
      </c>
      <c r="F399" s="336">
        <f t="shared" ca="1" si="79"/>
        <v>0</v>
      </c>
      <c r="G399" s="343">
        <f t="shared" ca="1" si="80"/>
        <v>0</v>
      </c>
      <c r="H399" s="336">
        <f t="shared" ca="1" si="81"/>
        <v>0</v>
      </c>
      <c r="I399" s="337">
        <f t="shared" ca="1" si="82"/>
        <v>0</v>
      </c>
    </row>
    <row r="400" spans="1:9">
      <c r="A400" s="335">
        <f t="shared" si="75"/>
        <v>383</v>
      </c>
      <c r="B400" s="340">
        <f t="shared" si="76"/>
        <v>57923</v>
      </c>
      <c r="C400" s="336">
        <f t="shared" ca="1" si="77"/>
        <v>0</v>
      </c>
      <c r="D400" s="335"/>
      <c r="E400" s="336">
        <f t="shared" ca="1" si="78"/>
        <v>0</v>
      </c>
      <c r="F400" s="336">
        <f t="shared" ca="1" si="79"/>
        <v>0</v>
      </c>
      <c r="G400" s="343">
        <f t="shared" ca="1" si="80"/>
        <v>0</v>
      </c>
      <c r="H400" s="336">
        <f t="shared" ca="1" si="81"/>
        <v>0</v>
      </c>
      <c r="I400" s="337">
        <f t="shared" ca="1" si="82"/>
        <v>0</v>
      </c>
    </row>
    <row r="401" spans="1:9">
      <c r="A401" s="335">
        <f t="shared" si="75"/>
        <v>384</v>
      </c>
      <c r="B401" s="340">
        <f t="shared" si="76"/>
        <v>57954</v>
      </c>
      <c r="C401" s="336">
        <f t="shared" ca="1" si="77"/>
        <v>0</v>
      </c>
      <c r="D401" s="336">
        <f ca="1">IF(H313&lt;0,0,(K49-L49)/11)</f>
        <v>223492.63636363635</v>
      </c>
      <c r="E401" s="336">
        <f t="shared" ca="1" si="78"/>
        <v>0</v>
      </c>
      <c r="F401" s="336">
        <f t="shared" ca="1" si="79"/>
        <v>0</v>
      </c>
      <c r="G401" s="343">
        <f t="shared" ca="1" si="80"/>
        <v>0</v>
      </c>
      <c r="H401" s="336">
        <f t="shared" ca="1" si="81"/>
        <v>0</v>
      </c>
      <c r="I401" s="337">
        <f t="shared" ca="1" si="82"/>
        <v>223493</v>
      </c>
    </row>
    <row r="402" spans="1:9">
      <c r="A402" s="335">
        <f t="shared" si="75"/>
        <v>385</v>
      </c>
      <c r="B402" s="340">
        <f t="shared" si="76"/>
        <v>57984</v>
      </c>
      <c r="C402" s="336">
        <f t="shared" ca="1" si="77"/>
        <v>0</v>
      </c>
      <c r="D402" s="335"/>
      <c r="E402" s="336">
        <f t="shared" si="78"/>
        <v>0</v>
      </c>
      <c r="F402" s="336">
        <f t="shared" ca="1" si="79"/>
        <v>0</v>
      </c>
      <c r="G402" s="343">
        <f t="shared" ca="1" si="80"/>
        <v>0</v>
      </c>
      <c r="H402" s="336">
        <f t="shared" ca="1" si="81"/>
        <v>0</v>
      </c>
      <c r="I402" s="337">
        <f t="shared" ca="1" si="82"/>
        <v>0</v>
      </c>
    </row>
    <row r="403" spans="1:9">
      <c r="A403" s="335">
        <f t="shared" ref="A403:A466" si="83">IF(A402="","",IF(A402=$D$6,"",A402+1))</f>
        <v>386</v>
      </c>
      <c r="B403" s="340">
        <f t="shared" si="76"/>
        <v>58015</v>
      </c>
      <c r="C403" s="336">
        <f t="shared" ca="1" si="77"/>
        <v>0</v>
      </c>
      <c r="D403" s="335"/>
      <c r="E403" s="336">
        <f t="shared" ca="1" si="78"/>
        <v>0</v>
      </c>
      <c r="F403" s="336">
        <f t="shared" ca="1" si="79"/>
        <v>0</v>
      </c>
      <c r="G403" s="343">
        <f t="shared" ca="1" si="80"/>
        <v>0</v>
      </c>
      <c r="H403" s="336">
        <f t="shared" ca="1" si="81"/>
        <v>0</v>
      </c>
      <c r="I403" s="337">
        <f t="shared" ca="1" si="82"/>
        <v>0</v>
      </c>
    </row>
    <row r="404" spans="1:9">
      <c r="A404" s="335">
        <f t="shared" si="83"/>
        <v>387</v>
      </c>
      <c r="B404" s="340">
        <f t="shared" ref="B404:B467" si="84">DATE(YEAR(B403),MONTH(B403)+1,1)</f>
        <v>58045</v>
      </c>
      <c r="C404" s="336">
        <f t="shared" ca="1" si="77"/>
        <v>0</v>
      </c>
      <c r="D404" s="335"/>
      <c r="E404" s="336">
        <f t="shared" ca="1" si="78"/>
        <v>0</v>
      </c>
      <c r="F404" s="336">
        <f t="shared" ca="1" si="79"/>
        <v>0</v>
      </c>
      <c r="G404" s="343">
        <f t="shared" ca="1" si="80"/>
        <v>0</v>
      </c>
      <c r="H404" s="336">
        <f t="shared" ca="1" si="81"/>
        <v>0</v>
      </c>
      <c r="I404" s="337">
        <f t="shared" ca="1" si="82"/>
        <v>0</v>
      </c>
    </row>
    <row r="405" spans="1:9">
      <c r="A405" s="335">
        <f t="shared" si="83"/>
        <v>388</v>
      </c>
      <c r="B405" s="340">
        <f t="shared" si="84"/>
        <v>58076</v>
      </c>
      <c r="C405" s="336">
        <f t="shared" ca="1" si="77"/>
        <v>0</v>
      </c>
      <c r="D405" s="335"/>
      <c r="E405" s="336">
        <f t="shared" ca="1" si="78"/>
        <v>0</v>
      </c>
      <c r="F405" s="336">
        <f t="shared" ca="1" si="79"/>
        <v>0</v>
      </c>
      <c r="G405" s="343">
        <f t="shared" ca="1" si="80"/>
        <v>0</v>
      </c>
      <c r="H405" s="336">
        <f t="shared" ca="1" si="81"/>
        <v>0</v>
      </c>
      <c r="I405" s="337">
        <f t="shared" ca="1" si="82"/>
        <v>0</v>
      </c>
    </row>
    <row r="406" spans="1:9">
      <c r="A406" s="335">
        <f t="shared" si="83"/>
        <v>389</v>
      </c>
      <c r="B406" s="340">
        <f t="shared" si="84"/>
        <v>58107</v>
      </c>
      <c r="C406" s="336">
        <f t="shared" ca="1" si="77"/>
        <v>0</v>
      </c>
      <c r="D406" s="335"/>
      <c r="E406" s="336">
        <f t="shared" ca="1" si="78"/>
        <v>0</v>
      </c>
      <c r="F406" s="336">
        <f t="shared" ca="1" si="79"/>
        <v>0</v>
      </c>
      <c r="G406" s="343">
        <f t="shared" ca="1" si="80"/>
        <v>0</v>
      </c>
      <c r="H406" s="336">
        <f t="shared" ca="1" si="81"/>
        <v>0</v>
      </c>
      <c r="I406" s="337">
        <f t="shared" ca="1" si="82"/>
        <v>0</v>
      </c>
    </row>
    <row r="407" spans="1:9">
      <c r="A407" s="335">
        <f t="shared" si="83"/>
        <v>390</v>
      </c>
      <c r="B407" s="340">
        <f t="shared" si="84"/>
        <v>58135</v>
      </c>
      <c r="C407" s="336">
        <f t="shared" ca="1" si="77"/>
        <v>0</v>
      </c>
      <c r="D407" s="335"/>
      <c r="E407" s="336">
        <f t="shared" ca="1" si="78"/>
        <v>0</v>
      </c>
      <c r="F407" s="336">
        <f t="shared" ca="1" si="79"/>
        <v>0</v>
      </c>
      <c r="G407" s="343">
        <f t="shared" ca="1" si="80"/>
        <v>0</v>
      </c>
      <c r="H407" s="336">
        <f t="shared" ca="1" si="81"/>
        <v>0</v>
      </c>
      <c r="I407" s="337">
        <f t="shared" ca="1" si="82"/>
        <v>0</v>
      </c>
    </row>
    <row r="408" spans="1:9">
      <c r="A408" s="335">
        <f t="shared" si="83"/>
        <v>391</v>
      </c>
      <c r="B408" s="340">
        <f t="shared" si="84"/>
        <v>58166</v>
      </c>
      <c r="C408" s="336">
        <f t="shared" ca="1" si="77"/>
        <v>0</v>
      </c>
      <c r="D408" s="335"/>
      <c r="E408" s="336">
        <f t="shared" ca="1" si="78"/>
        <v>0</v>
      </c>
      <c r="F408" s="336">
        <f t="shared" ca="1" si="79"/>
        <v>0</v>
      </c>
      <c r="G408" s="343">
        <f t="shared" ca="1" si="80"/>
        <v>0</v>
      </c>
      <c r="H408" s="336">
        <f t="shared" ca="1" si="81"/>
        <v>0</v>
      </c>
      <c r="I408" s="337">
        <f t="shared" ca="1" si="82"/>
        <v>0</v>
      </c>
    </row>
    <row r="409" spans="1:9">
      <c r="A409" s="335">
        <f t="shared" si="83"/>
        <v>392</v>
      </c>
      <c r="B409" s="340">
        <f t="shared" si="84"/>
        <v>58196</v>
      </c>
      <c r="C409" s="336">
        <f t="shared" ca="1" si="77"/>
        <v>0</v>
      </c>
      <c r="D409" s="335"/>
      <c r="E409" s="336">
        <f t="shared" ca="1" si="78"/>
        <v>0</v>
      </c>
      <c r="F409" s="336">
        <f t="shared" ca="1" si="79"/>
        <v>0</v>
      </c>
      <c r="G409" s="343">
        <f t="shared" ca="1" si="80"/>
        <v>0</v>
      </c>
      <c r="H409" s="336">
        <f t="shared" ca="1" si="81"/>
        <v>0</v>
      </c>
      <c r="I409" s="337">
        <f t="shared" ca="1" si="82"/>
        <v>0</v>
      </c>
    </row>
    <row r="410" spans="1:9">
      <c r="A410" s="335">
        <f t="shared" si="83"/>
        <v>393</v>
      </c>
      <c r="B410" s="340">
        <f t="shared" si="84"/>
        <v>58227</v>
      </c>
      <c r="C410" s="336">
        <f t="shared" ca="1" si="77"/>
        <v>0</v>
      </c>
      <c r="D410" s="335"/>
      <c r="E410" s="336">
        <f t="shared" ca="1" si="78"/>
        <v>0</v>
      </c>
      <c r="F410" s="336">
        <f t="shared" ca="1" si="79"/>
        <v>0</v>
      </c>
      <c r="G410" s="343">
        <f t="shared" ca="1" si="80"/>
        <v>0</v>
      </c>
      <c r="H410" s="336">
        <f t="shared" ca="1" si="81"/>
        <v>0</v>
      </c>
      <c r="I410" s="337">
        <f t="shared" ca="1" si="82"/>
        <v>0</v>
      </c>
    </row>
    <row r="411" spans="1:9">
      <c r="A411" s="335">
        <f t="shared" si="83"/>
        <v>394</v>
      </c>
      <c r="B411" s="340">
        <f t="shared" si="84"/>
        <v>58257</v>
      </c>
      <c r="C411" s="336">
        <f t="shared" ca="1" si="77"/>
        <v>0</v>
      </c>
      <c r="D411" s="335"/>
      <c r="E411" s="336">
        <f t="shared" ca="1" si="78"/>
        <v>0</v>
      </c>
      <c r="F411" s="336">
        <f t="shared" ca="1" si="79"/>
        <v>0</v>
      </c>
      <c r="G411" s="343">
        <f t="shared" ca="1" si="80"/>
        <v>0</v>
      </c>
      <c r="H411" s="336">
        <f t="shared" ca="1" si="81"/>
        <v>0</v>
      </c>
      <c r="I411" s="337">
        <f t="shared" ca="1" si="82"/>
        <v>0</v>
      </c>
    </row>
    <row r="412" spans="1:9">
      <c r="A412" s="335">
        <f t="shared" si="83"/>
        <v>395</v>
      </c>
      <c r="B412" s="340">
        <f t="shared" si="84"/>
        <v>58288</v>
      </c>
      <c r="C412" s="336">
        <f t="shared" ca="1" si="77"/>
        <v>0</v>
      </c>
      <c r="D412" s="335"/>
      <c r="E412" s="336">
        <f t="shared" ca="1" si="78"/>
        <v>0</v>
      </c>
      <c r="F412" s="336">
        <f t="shared" ca="1" si="79"/>
        <v>0</v>
      </c>
      <c r="G412" s="343">
        <f t="shared" ca="1" si="80"/>
        <v>0</v>
      </c>
      <c r="H412" s="336">
        <f t="shared" ca="1" si="81"/>
        <v>0</v>
      </c>
      <c r="I412" s="337">
        <f t="shared" ca="1" si="82"/>
        <v>0</v>
      </c>
    </row>
    <row r="413" spans="1:9">
      <c r="A413" s="335">
        <f t="shared" si="83"/>
        <v>396</v>
      </c>
      <c r="B413" s="340">
        <f t="shared" si="84"/>
        <v>58319</v>
      </c>
      <c r="C413" s="336">
        <f t="shared" ca="1" si="77"/>
        <v>0</v>
      </c>
      <c r="D413" s="336">
        <f ca="1">IF(H314&lt;0,0,(K50-L50)/11)</f>
        <v>223492.63636363635</v>
      </c>
      <c r="E413" s="336">
        <f t="shared" ca="1" si="78"/>
        <v>0</v>
      </c>
      <c r="F413" s="336">
        <f t="shared" ca="1" si="79"/>
        <v>0</v>
      </c>
      <c r="G413" s="343">
        <f t="shared" ca="1" si="80"/>
        <v>0</v>
      </c>
      <c r="H413" s="336">
        <f t="shared" ca="1" si="81"/>
        <v>0</v>
      </c>
      <c r="I413" s="337">
        <f t="shared" ca="1" si="82"/>
        <v>223493</v>
      </c>
    </row>
    <row r="414" spans="1:9">
      <c r="A414" s="335">
        <f t="shared" si="83"/>
        <v>397</v>
      </c>
      <c r="B414" s="340">
        <f t="shared" si="84"/>
        <v>58349</v>
      </c>
      <c r="C414" s="336">
        <f t="shared" ca="1" si="77"/>
        <v>0</v>
      </c>
      <c r="D414" s="335"/>
      <c r="E414" s="336">
        <f t="shared" si="78"/>
        <v>0</v>
      </c>
      <c r="F414" s="336">
        <f t="shared" ca="1" si="79"/>
        <v>0</v>
      </c>
      <c r="G414" s="343">
        <f t="shared" ca="1" si="80"/>
        <v>0</v>
      </c>
      <c r="H414" s="336">
        <f t="shared" ca="1" si="81"/>
        <v>0</v>
      </c>
      <c r="I414" s="337">
        <f t="shared" ca="1" si="82"/>
        <v>0</v>
      </c>
    </row>
    <row r="415" spans="1:9">
      <c r="A415" s="335">
        <f t="shared" si="83"/>
        <v>398</v>
      </c>
      <c r="B415" s="340">
        <f t="shared" si="84"/>
        <v>58380</v>
      </c>
      <c r="C415" s="336">
        <f t="shared" ca="1" si="77"/>
        <v>0</v>
      </c>
      <c r="D415" s="335"/>
      <c r="E415" s="336">
        <f t="shared" ca="1" si="78"/>
        <v>0</v>
      </c>
      <c r="F415" s="336">
        <f t="shared" ca="1" si="79"/>
        <v>0</v>
      </c>
      <c r="G415" s="343">
        <f t="shared" ca="1" si="80"/>
        <v>0</v>
      </c>
      <c r="H415" s="336">
        <f t="shared" ca="1" si="81"/>
        <v>0</v>
      </c>
      <c r="I415" s="337">
        <f t="shared" ca="1" si="82"/>
        <v>0</v>
      </c>
    </row>
    <row r="416" spans="1:9">
      <c r="A416" s="335">
        <f t="shared" si="83"/>
        <v>399</v>
      </c>
      <c r="B416" s="340">
        <f t="shared" si="84"/>
        <v>58410</v>
      </c>
      <c r="C416" s="336">
        <f t="shared" ca="1" si="77"/>
        <v>0</v>
      </c>
      <c r="D416" s="335"/>
      <c r="E416" s="336">
        <f t="shared" ca="1" si="78"/>
        <v>0</v>
      </c>
      <c r="F416" s="336">
        <f t="shared" ca="1" si="79"/>
        <v>0</v>
      </c>
      <c r="G416" s="343">
        <f t="shared" ca="1" si="80"/>
        <v>0</v>
      </c>
      <c r="H416" s="336">
        <f t="shared" ca="1" si="81"/>
        <v>0</v>
      </c>
      <c r="I416" s="337">
        <f t="shared" ca="1" si="82"/>
        <v>0</v>
      </c>
    </row>
    <row r="417" spans="1:9">
      <c r="A417" s="335">
        <f t="shared" si="83"/>
        <v>400</v>
      </c>
      <c r="B417" s="340">
        <f t="shared" si="84"/>
        <v>58441</v>
      </c>
      <c r="C417" s="336">
        <f t="shared" ca="1" si="77"/>
        <v>0</v>
      </c>
      <c r="D417" s="335"/>
      <c r="E417" s="336">
        <f t="shared" ca="1" si="78"/>
        <v>0</v>
      </c>
      <c r="F417" s="336">
        <f t="shared" ca="1" si="79"/>
        <v>0</v>
      </c>
      <c r="G417" s="343">
        <f t="shared" ca="1" si="80"/>
        <v>0</v>
      </c>
      <c r="H417" s="336">
        <f t="shared" ca="1" si="81"/>
        <v>0</v>
      </c>
      <c r="I417" s="337">
        <f t="shared" ca="1" si="82"/>
        <v>0</v>
      </c>
    </row>
    <row r="418" spans="1:9">
      <c r="A418" s="335">
        <f t="shared" si="83"/>
        <v>401</v>
      </c>
      <c r="B418" s="340">
        <f t="shared" si="84"/>
        <v>58472</v>
      </c>
      <c r="C418" s="336">
        <f t="shared" ca="1" si="77"/>
        <v>0</v>
      </c>
      <c r="D418" s="335"/>
      <c r="E418" s="336">
        <f t="shared" ca="1" si="78"/>
        <v>0</v>
      </c>
      <c r="F418" s="336">
        <f t="shared" ca="1" si="79"/>
        <v>0</v>
      </c>
      <c r="G418" s="343">
        <f t="shared" ca="1" si="80"/>
        <v>0</v>
      </c>
      <c r="H418" s="336">
        <f t="shared" ca="1" si="81"/>
        <v>0</v>
      </c>
      <c r="I418" s="337">
        <f t="shared" ca="1" si="82"/>
        <v>0</v>
      </c>
    </row>
    <row r="419" spans="1:9">
      <c r="A419" s="335">
        <f t="shared" si="83"/>
        <v>402</v>
      </c>
      <c r="B419" s="340">
        <f t="shared" si="84"/>
        <v>58501</v>
      </c>
      <c r="C419" s="336">
        <f t="shared" ca="1" si="77"/>
        <v>0</v>
      </c>
      <c r="D419" s="335"/>
      <c r="E419" s="336">
        <f t="shared" ca="1" si="78"/>
        <v>0</v>
      </c>
      <c r="F419" s="336">
        <f t="shared" ca="1" si="79"/>
        <v>0</v>
      </c>
      <c r="G419" s="343">
        <f t="shared" ca="1" si="80"/>
        <v>0</v>
      </c>
      <c r="H419" s="336">
        <f t="shared" ca="1" si="81"/>
        <v>0</v>
      </c>
      <c r="I419" s="337">
        <f t="shared" ca="1" si="82"/>
        <v>0</v>
      </c>
    </row>
    <row r="420" spans="1:9">
      <c r="A420" s="335">
        <f t="shared" si="83"/>
        <v>403</v>
      </c>
      <c r="B420" s="340">
        <f t="shared" si="84"/>
        <v>58532</v>
      </c>
      <c r="C420" s="336">
        <f t="shared" ca="1" si="77"/>
        <v>0</v>
      </c>
      <c r="D420" s="335"/>
      <c r="E420" s="336">
        <f t="shared" ca="1" si="78"/>
        <v>0</v>
      </c>
      <c r="F420" s="336">
        <f t="shared" ca="1" si="79"/>
        <v>0</v>
      </c>
      <c r="G420" s="343">
        <f t="shared" ca="1" si="80"/>
        <v>0</v>
      </c>
      <c r="H420" s="336">
        <f t="shared" ca="1" si="81"/>
        <v>0</v>
      </c>
      <c r="I420" s="337">
        <f t="shared" ca="1" si="82"/>
        <v>0</v>
      </c>
    </row>
    <row r="421" spans="1:9">
      <c r="A421" s="335">
        <f t="shared" si="83"/>
        <v>404</v>
      </c>
      <c r="B421" s="340">
        <f t="shared" si="84"/>
        <v>58562</v>
      </c>
      <c r="C421" s="336">
        <f t="shared" ca="1" si="77"/>
        <v>0</v>
      </c>
      <c r="D421" s="335"/>
      <c r="E421" s="336">
        <f t="shared" ca="1" si="78"/>
        <v>0</v>
      </c>
      <c r="F421" s="336">
        <f t="shared" ca="1" si="79"/>
        <v>0</v>
      </c>
      <c r="G421" s="343">
        <f t="shared" ca="1" si="80"/>
        <v>0</v>
      </c>
      <c r="H421" s="336">
        <f t="shared" ca="1" si="81"/>
        <v>0</v>
      </c>
      <c r="I421" s="337">
        <f t="shared" ca="1" si="82"/>
        <v>0</v>
      </c>
    </row>
    <row r="422" spans="1:9">
      <c r="A422" s="335">
        <f t="shared" si="83"/>
        <v>405</v>
      </c>
      <c r="B422" s="340">
        <f t="shared" si="84"/>
        <v>58593</v>
      </c>
      <c r="C422" s="336">
        <f t="shared" ca="1" si="77"/>
        <v>0</v>
      </c>
      <c r="D422" s="335"/>
      <c r="E422" s="336">
        <f t="shared" ca="1" si="78"/>
        <v>0</v>
      </c>
      <c r="F422" s="336">
        <f t="shared" ca="1" si="79"/>
        <v>0</v>
      </c>
      <c r="G422" s="343">
        <f t="shared" ca="1" si="80"/>
        <v>0</v>
      </c>
      <c r="H422" s="336">
        <f t="shared" ca="1" si="81"/>
        <v>0</v>
      </c>
      <c r="I422" s="337">
        <f t="shared" ca="1" si="82"/>
        <v>0</v>
      </c>
    </row>
    <row r="423" spans="1:9">
      <c r="A423" s="335">
        <f t="shared" si="83"/>
        <v>406</v>
      </c>
      <c r="B423" s="340">
        <f t="shared" si="84"/>
        <v>58623</v>
      </c>
      <c r="C423" s="336">
        <f t="shared" ca="1" si="77"/>
        <v>0</v>
      </c>
      <c r="D423" s="335"/>
      <c r="E423" s="336">
        <f t="shared" ca="1" si="78"/>
        <v>0</v>
      </c>
      <c r="F423" s="336">
        <f t="shared" ca="1" si="79"/>
        <v>0</v>
      </c>
      <c r="G423" s="343">
        <f t="shared" ca="1" si="80"/>
        <v>0</v>
      </c>
      <c r="H423" s="336">
        <f t="shared" ca="1" si="81"/>
        <v>0</v>
      </c>
      <c r="I423" s="337">
        <f t="shared" ca="1" si="82"/>
        <v>0</v>
      </c>
    </row>
    <row r="424" spans="1:9">
      <c r="A424" s="335">
        <f t="shared" si="83"/>
        <v>407</v>
      </c>
      <c r="B424" s="340">
        <f t="shared" si="84"/>
        <v>58654</v>
      </c>
      <c r="C424" s="336">
        <f t="shared" ca="1" si="77"/>
        <v>0</v>
      </c>
      <c r="D424" s="335"/>
      <c r="E424" s="336">
        <f t="shared" ca="1" si="78"/>
        <v>0</v>
      </c>
      <c r="F424" s="336">
        <f t="shared" ca="1" si="79"/>
        <v>0</v>
      </c>
      <c r="G424" s="343">
        <f t="shared" ca="1" si="80"/>
        <v>0</v>
      </c>
      <c r="H424" s="336">
        <f t="shared" ca="1" si="81"/>
        <v>0</v>
      </c>
      <c r="I424" s="337">
        <f t="shared" ca="1" si="82"/>
        <v>0</v>
      </c>
    </row>
    <row r="425" spans="1:9">
      <c r="A425" s="335">
        <f t="shared" si="83"/>
        <v>408</v>
      </c>
      <c r="B425" s="340">
        <f t="shared" si="84"/>
        <v>58685</v>
      </c>
      <c r="C425" s="336">
        <f t="shared" ca="1" si="77"/>
        <v>0</v>
      </c>
      <c r="D425" s="336">
        <f ca="1">IF(H315&lt;0,0,(K51-L51)/11)</f>
        <v>223492.63636363635</v>
      </c>
      <c r="E425" s="336">
        <f t="shared" ca="1" si="78"/>
        <v>0</v>
      </c>
      <c r="F425" s="336">
        <f t="shared" ca="1" si="79"/>
        <v>0</v>
      </c>
      <c r="G425" s="343">
        <f t="shared" ca="1" si="80"/>
        <v>0</v>
      </c>
      <c r="H425" s="336">
        <f t="shared" ca="1" si="81"/>
        <v>0</v>
      </c>
      <c r="I425" s="337">
        <f t="shared" ca="1" si="82"/>
        <v>223493</v>
      </c>
    </row>
    <row r="426" spans="1:9">
      <c r="A426" s="335">
        <f t="shared" si="83"/>
        <v>409</v>
      </c>
      <c r="B426" s="340">
        <f t="shared" si="84"/>
        <v>58715</v>
      </c>
      <c r="C426" s="336">
        <f t="shared" ca="1" si="77"/>
        <v>0</v>
      </c>
      <c r="D426" s="335"/>
      <c r="E426" s="336">
        <f t="shared" si="78"/>
        <v>0</v>
      </c>
      <c r="F426" s="336">
        <f t="shared" ca="1" si="79"/>
        <v>0</v>
      </c>
      <c r="G426" s="343">
        <f t="shared" ca="1" si="80"/>
        <v>0</v>
      </c>
      <c r="H426" s="336">
        <f t="shared" ca="1" si="81"/>
        <v>0</v>
      </c>
      <c r="I426" s="337">
        <f t="shared" ca="1" si="82"/>
        <v>0</v>
      </c>
    </row>
    <row r="427" spans="1:9">
      <c r="A427" s="335">
        <f t="shared" si="83"/>
        <v>410</v>
      </c>
      <c r="B427" s="340">
        <f t="shared" si="84"/>
        <v>58746</v>
      </c>
      <c r="C427" s="336">
        <f t="shared" ca="1" si="77"/>
        <v>0</v>
      </c>
      <c r="D427" s="335"/>
      <c r="E427" s="336">
        <f t="shared" ca="1" si="78"/>
        <v>0</v>
      </c>
      <c r="F427" s="336">
        <f t="shared" ca="1" si="79"/>
        <v>0</v>
      </c>
      <c r="G427" s="343">
        <f t="shared" ca="1" si="80"/>
        <v>0</v>
      </c>
      <c r="H427" s="336">
        <f t="shared" ca="1" si="81"/>
        <v>0</v>
      </c>
      <c r="I427" s="337">
        <f t="shared" ca="1" si="82"/>
        <v>0</v>
      </c>
    </row>
    <row r="428" spans="1:9">
      <c r="A428" s="335">
        <f t="shared" si="83"/>
        <v>411</v>
      </c>
      <c r="B428" s="340">
        <f t="shared" si="84"/>
        <v>58776</v>
      </c>
      <c r="C428" s="336">
        <f t="shared" ca="1" si="77"/>
        <v>0</v>
      </c>
      <c r="D428" s="335"/>
      <c r="E428" s="336">
        <f t="shared" ca="1" si="78"/>
        <v>0</v>
      </c>
      <c r="F428" s="336">
        <f t="shared" ca="1" si="79"/>
        <v>0</v>
      </c>
      <c r="G428" s="343">
        <f t="shared" ca="1" si="80"/>
        <v>0</v>
      </c>
      <c r="H428" s="336">
        <f t="shared" ca="1" si="81"/>
        <v>0</v>
      </c>
      <c r="I428" s="337">
        <f t="shared" ca="1" si="82"/>
        <v>0</v>
      </c>
    </row>
    <row r="429" spans="1:9">
      <c r="A429" s="335">
        <f t="shared" si="83"/>
        <v>412</v>
      </c>
      <c r="B429" s="340">
        <f t="shared" si="84"/>
        <v>58807</v>
      </c>
      <c r="C429" s="336">
        <f t="shared" ca="1" si="77"/>
        <v>0</v>
      </c>
      <c r="D429" s="335"/>
      <c r="E429" s="336">
        <f t="shared" ca="1" si="78"/>
        <v>0</v>
      </c>
      <c r="F429" s="336">
        <f t="shared" ca="1" si="79"/>
        <v>0</v>
      </c>
      <c r="G429" s="343">
        <f t="shared" ca="1" si="80"/>
        <v>0</v>
      </c>
      <c r="H429" s="336">
        <f t="shared" ca="1" si="81"/>
        <v>0</v>
      </c>
      <c r="I429" s="337">
        <f t="shared" ca="1" si="82"/>
        <v>0</v>
      </c>
    </row>
    <row r="430" spans="1:9">
      <c r="A430" s="335">
        <f t="shared" si="83"/>
        <v>413</v>
      </c>
      <c r="B430" s="340">
        <f t="shared" si="84"/>
        <v>58838</v>
      </c>
      <c r="C430" s="336">
        <f t="shared" ca="1" si="77"/>
        <v>0</v>
      </c>
      <c r="D430" s="335"/>
      <c r="E430" s="336">
        <f t="shared" ca="1" si="78"/>
        <v>0</v>
      </c>
      <c r="F430" s="336">
        <f t="shared" ca="1" si="79"/>
        <v>0</v>
      </c>
      <c r="G430" s="343">
        <f t="shared" ca="1" si="80"/>
        <v>0</v>
      </c>
      <c r="H430" s="336">
        <f t="shared" ca="1" si="81"/>
        <v>0</v>
      </c>
      <c r="I430" s="337">
        <f t="shared" ca="1" si="82"/>
        <v>0</v>
      </c>
    </row>
    <row r="431" spans="1:9">
      <c r="A431" s="335">
        <f t="shared" si="83"/>
        <v>414</v>
      </c>
      <c r="B431" s="340">
        <f t="shared" si="84"/>
        <v>58866</v>
      </c>
      <c r="C431" s="336">
        <f t="shared" ca="1" si="77"/>
        <v>0</v>
      </c>
      <c r="D431" s="335"/>
      <c r="E431" s="336">
        <f t="shared" ca="1" si="78"/>
        <v>0</v>
      </c>
      <c r="F431" s="336">
        <f t="shared" ca="1" si="79"/>
        <v>0</v>
      </c>
      <c r="G431" s="343">
        <f t="shared" ca="1" si="80"/>
        <v>0</v>
      </c>
      <c r="H431" s="336">
        <f t="shared" ca="1" si="81"/>
        <v>0</v>
      </c>
      <c r="I431" s="337">
        <f t="shared" ca="1" si="82"/>
        <v>0</v>
      </c>
    </row>
    <row r="432" spans="1:9">
      <c r="A432" s="335">
        <f t="shared" si="83"/>
        <v>415</v>
      </c>
      <c r="B432" s="340">
        <f t="shared" si="84"/>
        <v>58897</v>
      </c>
      <c r="C432" s="336">
        <f t="shared" ca="1" si="77"/>
        <v>0</v>
      </c>
      <c r="D432" s="335"/>
      <c r="E432" s="336">
        <f t="shared" ca="1" si="78"/>
        <v>0</v>
      </c>
      <c r="F432" s="336">
        <f t="shared" ca="1" si="79"/>
        <v>0</v>
      </c>
      <c r="G432" s="343">
        <f t="shared" ca="1" si="80"/>
        <v>0</v>
      </c>
      <c r="H432" s="336">
        <f t="shared" ca="1" si="81"/>
        <v>0</v>
      </c>
      <c r="I432" s="337">
        <f t="shared" ca="1" si="82"/>
        <v>0</v>
      </c>
    </row>
    <row r="433" spans="1:9">
      <c r="A433" s="335">
        <f t="shared" si="83"/>
        <v>416</v>
      </c>
      <c r="B433" s="340">
        <f t="shared" si="84"/>
        <v>58927</v>
      </c>
      <c r="C433" s="336">
        <f t="shared" ca="1" si="77"/>
        <v>0</v>
      </c>
      <c r="D433" s="335"/>
      <c r="E433" s="336">
        <f t="shared" ca="1" si="78"/>
        <v>0</v>
      </c>
      <c r="F433" s="336">
        <f t="shared" ca="1" si="79"/>
        <v>0</v>
      </c>
      <c r="G433" s="343">
        <f t="shared" ca="1" si="80"/>
        <v>0</v>
      </c>
      <c r="H433" s="336">
        <f t="shared" ca="1" si="81"/>
        <v>0</v>
      </c>
      <c r="I433" s="337">
        <f t="shared" ca="1" si="82"/>
        <v>0</v>
      </c>
    </row>
    <row r="434" spans="1:9">
      <c r="A434" s="335">
        <f t="shared" si="83"/>
        <v>417</v>
      </c>
      <c r="B434" s="340">
        <f t="shared" si="84"/>
        <v>58958</v>
      </c>
      <c r="C434" s="336">
        <f t="shared" ca="1" si="77"/>
        <v>0</v>
      </c>
      <c r="D434" s="335"/>
      <c r="E434" s="336">
        <f t="shared" ca="1" si="78"/>
        <v>0</v>
      </c>
      <c r="F434" s="336">
        <f t="shared" ca="1" si="79"/>
        <v>0</v>
      </c>
      <c r="G434" s="343">
        <f t="shared" ca="1" si="80"/>
        <v>0</v>
      </c>
      <c r="H434" s="336">
        <f t="shared" ca="1" si="81"/>
        <v>0</v>
      </c>
      <c r="I434" s="337">
        <f t="shared" ca="1" si="82"/>
        <v>0</v>
      </c>
    </row>
    <row r="435" spans="1:9">
      <c r="A435" s="335">
        <f t="shared" si="83"/>
        <v>418</v>
      </c>
      <c r="B435" s="340">
        <f t="shared" si="84"/>
        <v>58988</v>
      </c>
      <c r="C435" s="336">
        <f t="shared" ca="1" si="77"/>
        <v>0</v>
      </c>
      <c r="D435" s="335"/>
      <c r="E435" s="336">
        <f t="shared" ca="1" si="78"/>
        <v>0</v>
      </c>
      <c r="F435" s="336">
        <f t="shared" ca="1" si="79"/>
        <v>0</v>
      </c>
      <c r="G435" s="343">
        <f t="shared" ca="1" si="80"/>
        <v>0</v>
      </c>
      <c r="H435" s="336">
        <f t="shared" ca="1" si="81"/>
        <v>0</v>
      </c>
      <c r="I435" s="337">
        <f t="shared" ca="1" si="82"/>
        <v>0</v>
      </c>
    </row>
    <row r="436" spans="1:9">
      <c r="A436" s="335">
        <f t="shared" si="83"/>
        <v>419</v>
      </c>
      <c r="B436" s="340">
        <f t="shared" si="84"/>
        <v>59019</v>
      </c>
      <c r="C436" s="336">
        <f t="shared" ca="1" si="77"/>
        <v>0</v>
      </c>
      <c r="D436" s="335"/>
      <c r="E436" s="336">
        <f t="shared" ca="1" si="78"/>
        <v>0</v>
      </c>
      <c r="F436" s="336">
        <f t="shared" ca="1" si="79"/>
        <v>0</v>
      </c>
      <c r="G436" s="343">
        <f t="shared" ca="1" si="80"/>
        <v>0</v>
      </c>
      <c r="H436" s="336">
        <f t="shared" ca="1" si="81"/>
        <v>0</v>
      </c>
      <c r="I436" s="337">
        <f t="shared" ca="1" si="82"/>
        <v>0</v>
      </c>
    </row>
    <row r="437" spans="1:9">
      <c r="A437" s="335">
        <f t="shared" si="83"/>
        <v>420</v>
      </c>
      <c r="B437" s="340">
        <f t="shared" si="84"/>
        <v>59050</v>
      </c>
      <c r="C437" s="336">
        <f t="shared" ca="1" si="77"/>
        <v>0</v>
      </c>
      <c r="D437" s="336">
        <f ca="1">IF(H316&lt;0,0,(K52-L52)/11)</f>
        <v>223492.63636363635</v>
      </c>
      <c r="E437" s="336">
        <f t="shared" ca="1" si="78"/>
        <v>0</v>
      </c>
      <c r="F437" s="336">
        <f t="shared" ca="1" si="79"/>
        <v>0</v>
      </c>
      <c r="G437" s="343">
        <f t="shared" ca="1" si="80"/>
        <v>0</v>
      </c>
      <c r="H437" s="336">
        <f t="shared" ca="1" si="81"/>
        <v>0</v>
      </c>
      <c r="I437" s="337">
        <f t="shared" ca="1" si="82"/>
        <v>223493</v>
      </c>
    </row>
    <row r="438" spans="1:9">
      <c r="A438" s="335">
        <f t="shared" si="83"/>
        <v>421</v>
      </c>
      <c r="B438" s="340">
        <f t="shared" si="84"/>
        <v>59080</v>
      </c>
      <c r="C438" s="336">
        <f t="shared" ca="1" si="77"/>
        <v>0</v>
      </c>
      <c r="D438" s="335"/>
      <c r="E438" s="336">
        <f t="shared" si="78"/>
        <v>0</v>
      </c>
      <c r="F438" s="336">
        <f t="shared" ca="1" si="79"/>
        <v>0</v>
      </c>
      <c r="G438" s="343">
        <f t="shared" ca="1" si="80"/>
        <v>0</v>
      </c>
      <c r="H438" s="336">
        <f t="shared" ca="1" si="81"/>
        <v>0</v>
      </c>
      <c r="I438" s="337">
        <f t="shared" ca="1" si="82"/>
        <v>0</v>
      </c>
    </row>
    <row r="439" spans="1:9">
      <c r="A439" s="335">
        <f t="shared" si="83"/>
        <v>422</v>
      </c>
      <c r="B439" s="340">
        <f t="shared" si="84"/>
        <v>59111</v>
      </c>
      <c r="C439" s="336">
        <f t="shared" ca="1" si="77"/>
        <v>0</v>
      </c>
      <c r="D439" s="335"/>
      <c r="E439" s="336">
        <f t="shared" ca="1" si="78"/>
        <v>0</v>
      </c>
      <c r="F439" s="336">
        <f t="shared" ca="1" si="79"/>
        <v>0</v>
      </c>
      <c r="G439" s="343">
        <f t="shared" ca="1" si="80"/>
        <v>0</v>
      </c>
      <c r="H439" s="336">
        <f t="shared" ca="1" si="81"/>
        <v>0</v>
      </c>
      <c r="I439" s="337">
        <f t="shared" ca="1" si="82"/>
        <v>0</v>
      </c>
    </row>
    <row r="440" spans="1:9">
      <c r="A440" s="335">
        <f t="shared" si="83"/>
        <v>423</v>
      </c>
      <c r="B440" s="340">
        <f t="shared" si="84"/>
        <v>59141</v>
      </c>
      <c r="C440" s="336">
        <f t="shared" ca="1" si="77"/>
        <v>0</v>
      </c>
      <c r="D440" s="335"/>
      <c r="E440" s="336">
        <f t="shared" ca="1" si="78"/>
        <v>0</v>
      </c>
      <c r="F440" s="336">
        <f t="shared" ca="1" si="79"/>
        <v>0</v>
      </c>
      <c r="G440" s="343">
        <f t="shared" ca="1" si="80"/>
        <v>0</v>
      </c>
      <c r="H440" s="336">
        <f t="shared" ca="1" si="81"/>
        <v>0</v>
      </c>
      <c r="I440" s="337">
        <f t="shared" ca="1" si="82"/>
        <v>0</v>
      </c>
    </row>
    <row r="441" spans="1:9">
      <c r="A441" s="335">
        <f t="shared" si="83"/>
        <v>424</v>
      </c>
      <c r="B441" s="340">
        <f t="shared" si="84"/>
        <v>59172</v>
      </c>
      <c r="C441" s="336">
        <f t="shared" ca="1" si="77"/>
        <v>0</v>
      </c>
      <c r="D441" s="335"/>
      <c r="E441" s="336">
        <f t="shared" ca="1" si="78"/>
        <v>0</v>
      </c>
      <c r="F441" s="336">
        <f t="shared" ca="1" si="79"/>
        <v>0</v>
      </c>
      <c r="G441" s="343">
        <f t="shared" ca="1" si="80"/>
        <v>0</v>
      </c>
      <c r="H441" s="336">
        <f t="shared" ca="1" si="81"/>
        <v>0</v>
      </c>
      <c r="I441" s="337">
        <f t="shared" ca="1" si="82"/>
        <v>0</v>
      </c>
    </row>
    <row r="442" spans="1:9">
      <c r="A442" s="335">
        <f t="shared" si="83"/>
        <v>425</v>
      </c>
      <c r="B442" s="340">
        <f t="shared" si="84"/>
        <v>59203</v>
      </c>
      <c r="C442" s="336">
        <f t="shared" ca="1" si="77"/>
        <v>0</v>
      </c>
      <c r="D442" s="335"/>
      <c r="E442" s="336">
        <f t="shared" ca="1" si="78"/>
        <v>0</v>
      </c>
      <c r="F442" s="336">
        <f t="shared" ca="1" si="79"/>
        <v>0</v>
      </c>
      <c r="G442" s="343">
        <f t="shared" ca="1" si="80"/>
        <v>0</v>
      </c>
      <c r="H442" s="336">
        <f t="shared" ca="1" si="81"/>
        <v>0</v>
      </c>
      <c r="I442" s="337">
        <f t="shared" ca="1" si="82"/>
        <v>0</v>
      </c>
    </row>
    <row r="443" spans="1:9">
      <c r="A443" s="335">
        <f t="shared" si="83"/>
        <v>426</v>
      </c>
      <c r="B443" s="340">
        <f t="shared" si="84"/>
        <v>59231</v>
      </c>
      <c r="C443" s="336">
        <f t="shared" ca="1" si="77"/>
        <v>0</v>
      </c>
      <c r="D443" s="335"/>
      <c r="E443" s="336">
        <f t="shared" ca="1" si="78"/>
        <v>0</v>
      </c>
      <c r="F443" s="336">
        <f t="shared" ca="1" si="79"/>
        <v>0</v>
      </c>
      <c r="G443" s="343">
        <f t="shared" ca="1" si="80"/>
        <v>0</v>
      </c>
      <c r="H443" s="336">
        <f t="shared" ca="1" si="81"/>
        <v>0</v>
      </c>
      <c r="I443" s="337">
        <f t="shared" ca="1" si="82"/>
        <v>0</v>
      </c>
    </row>
    <row r="444" spans="1:9">
      <c r="A444" s="335">
        <f t="shared" si="83"/>
        <v>427</v>
      </c>
      <c r="B444" s="340">
        <f t="shared" si="84"/>
        <v>59262</v>
      </c>
      <c r="C444" s="336">
        <f t="shared" ca="1" si="77"/>
        <v>0</v>
      </c>
      <c r="D444" s="335"/>
      <c r="E444" s="336">
        <f t="shared" ca="1" si="78"/>
        <v>0</v>
      </c>
      <c r="F444" s="336">
        <f t="shared" ca="1" si="79"/>
        <v>0</v>
      </c>
      <c r="G444" s="343">
        <f t="shared" ca="1" si="80"/>
        <v>0</v>
      </c>
      <c r="H444" s="336">
        <f t="shared" ca="1" si="81"/>
        <v>0</v>
      </c>
      <c r="I444" s="337">
        <f t="shared" ca="1" si="82"/>
        <v>0</v>
      </c>
    </row>
    <row r="445" spans="1:9">
      <c r="A445" s="335">
        <f t="shared" si="83"/>
        <v>428</v>
      </c>
      <c r="B445" s="340">
        <f t="shared" si="84"/>
        <v>59292</v>
      </c>
      <c r="C445" s="336">
        <f t="shared" ca="1" si="77"/>
        <v>0</v>
      </c>
      <c r="D445" s="335"/>
      <c r="E445" s="336">
        <f t="shared" ca="1" si="78"/>
        <v>0</v>
      </c>
      <c r="F445" s="336">
        <f t="shared" ca="1" si="79"/>
        <v>0</v>
      </c>
      <c r="G445" s="343">
        <f t="shared" ca="1" si="80"/>
        <v>0</v>
      </c>
      <c r="H445" s="336">
        <f t="shared" ca="1" si="81"/>
        <v>0</v>
      </c>
      <c r="I445" s="337">
        <f t="shared" ca="1" si="82"/>
        <v>0</v>
      </c>
    </row>
    <row r="446" spans="1:9">
      <c r="A446" s="335">
        <f t="shared" si="83"/>
        <v>429</v>
      </c>
      <c r="B446" s="340">
        <f t="shared" si="84"/>
        <v>59323</v>
      </c>
      <c r="C446" s="336">
        <f t="shared" ref="C446:C497" ca="1" si="85">IF(H445=0,0,H445)</f>
        <v>0</v>
      </c>
      <c r="D446" s="335"/>
      <c r="E446" s="336">
        <f t="shared" ref="E446:E497" ca="1" si="86">IF($D$10=1,
 IF(OR(MONTH(B446)=MONTH(EDATE($D$7,0)),MONTH(B446)=MONTH(EDATE($D$7,1)),MONTH(B446)=MONTH(EDATE($D$7,2)),MONTH(B446)=MONTH(EDATE($D$7,3)), MONTH(B446)=MONTH(EDATE($D$7,4)),MONTH(B446)=MONTH(EDATE($D$7,5)),MONTH(B446)=MONTH(EDATE($D$7,6)),MONTH(B446)=MONTH(EDATE($D$7,7)),MONTH(B446)=MONTH(EDATE($D$7,8)),MONTH(B446)=MONTH(EDATE($D$7,9)),MONTH(B446)=MONTH(EDATE($D$7,10))),(MIN( $D$305,H445)),0),
IF($D$10=0,
 IF(OR(MONTH(B446)=MONTH(EDATE($D$7,1)),MONTH(B446)=MONTH(EDATE($D$7,2)),MONTH(B446)=MONTH(EDATE($D$7,3)),MONTH(B446)=MONTH(EDATE($D$7,4)), MONTH(B446)=MONTH(EDATE($D$7,5)),MONTH(B446)=MONTH(EDATE($D$7,6)),MONTH(B446)=MONTH(EDATE($D$7,7)),MONTH(B446)=MONTH(EDATE($D$7,8)),MONTH(B446)=MONTH(EDATE($D$7,9)),MONTH(B446)=MONTH(EDATE($D$7,10)),MONTH(B446)=MONTH(EDATE($D$7,11))),(MIN( $D$305,H445)),0)))</f>
        <v>0</v>
      </c>
      <c r="F446" s="336">
        <f t="shared" ref="F446:F497" ca="1" si="87">IF(E446="","",E446-G446)</f>
        <v>0</v>
      </c>
      <c r="G446" s="343">
        <f t="shared" ref="G446:G497" ca="1" si="88">ROUND((C446-E446)*$D$5,3)</f>
        <v>0</v>
      </c>
      <c r="H446" s="336">
        <f t="shared" ref="H446:H497" ca="1" si="89">IF(E446="","",ROUND(H445-F446,4))</f>
        <v>0</v>
      </c>
      <c r="I446" s="337">
        <f t="shared" ref="I446:I497" ca="1" si="90">ROUND((D446-H446),0)</f>
        <v>0</v>
      </c>
    </row>
    <row r="447" spans="1:9">
      <c r="A447" s="335">
        <f t="shared" si="83"/>
        <v>430</v>
      </c>
      <c r="B447" s="340">
        <f t="shared" si="84"/>
        <v>59353</v>
      </c>
      <c r="C447" s="336">
        <f t="shared" ca="1" si="85"/>
        <v>0</v>
      </c>
      <c r="D447" s="335"/>
      <c r="E447" s="336">
        <f t="shared" ca="1" si="86"/>
        <v>0</v>
      </c>
      <c r="F447" s="336">
        <f t="shared" ca="1" si="87"/>
        <v>0</v>
      </c>
      <c r="G447" s="343">
        <f t="shared" ca="1" si="88"/>
        <v>0</v>
      </c>
      <c r="H447" s="336">
        <f t="shared" ca="1" si="89"/>
        <v>0</v>
      </c>
      <c r="I447" s="337">
        <f t="shared" ca="1" si="90"/>
        <v>0</v>
      </c>
    </row>
    <row r="448" spans="1:9">
      <c r="A448" s="335">
        <f t="shared" si="83"/>
        <v>431</v>
      </c>
      <c r="B448" s="340">
        <f t="shared" si="84"/>
        <v>59384</v>
      </c>
      <c r="C448" s="336">
        <f t="shared" ca="1" si="85"/>
        <v>0</v>
      </c>
      <c r="D448" s="336"/>
      <c r="E448" s="336">
        <f t="shared" ca="1" si="86"/>
        <v>0</v>
      </c>
      <c r="F448" s="336">
        <f t="shared" ca="1" si="87"/>
        <v>0</v>
      </c>
      <c r="G448" s="343">
        <f t="shared" ca="1" si="88"/>
        <v>0</v>
      </c>
      <c r="H448" s="336">
        <f t="shared" ca="1" si="89"/>
        <v>0</v>
      </c>
      <c r="I448" s="337">
        <f t="shared" ca="1" si="90"/>
        <v>0</v>
      </c>
    </row>
    <row r="449" spans="1:9">
      <c r="A449" s="335">
        <f t="shared" si="83"/>
        <v>432</v>
      </c>
      <c r="B449" s="340">
        <f t="shared" si="84"/>
        <v>59415</v>
      </c>
      <c r="C449" s="336">
        <f t="shared" ca="1" si="85"/>
        <v>0</v>
      </c>
      <c r="D449" s="336">
        <f ca="1">IF(H317&lt;0,0,(K53-L53)/11)</f>
        <v>223492.63636363635</v>
      </c>
      <c r="E449" s="336">
        <f t="shared" ca="1" si="86"/>
        <v>0</v>
      </c>
      <c r="F449" s="336">
        <f t="shared" ca="1" si="87"/>
        <v>0</v>
      </c>
      <c r="G449" s="343">
        <f t="shared" ca="1" si="88"/>
        <v>0</v>
      </c>
      <c r="H449" s="336">
        <f t="shared" ca="1" si="89"/>
        <v>0</v>
      </c>
      <c r="I449" s="337">
        <f t="shared" ca="1" si="90"/>
        <v>223493</v>
      </c>
    </row>
    <row r="450" spans="1:9">
      <c r="A450" s="335">
        <f t="shared" si="83"/>
        <v>433</v>
      </c>
      <c r="B450" s="340">
        <f t="shared" si="84"/>
        <v>59445</v>
      </c>
      <c r="C450" s="336">
        <f t="shared" ca="1" si="85"/>
        <v>0</v>
      </c>
      <c r="D450" s="335"/>
      <c r="E450" s="336">
        <f t="shared" si="86"/>
        <v>0</v>
      </c>
      <c r="F450" s="336">
        <f t="shared" ca="1" si="87"/>
        <v>0</v>
      </c>
      <c r="G450" s="343">
        <f t="shared" ca="1" si="88"/>
        <v>0</v>
      </c>
      <c r="H450" s="336">
        <f t="shared" ca="1" si="89"/>
        <v>0</v>
      </c>
      <c r="I450" s="337">
        <f t="shared" ca="1" si="90"/>
        <v>0</v>
      </c>
    </row>
    <row r="451" spans="1:9">
      <c r="A451" s="335">
        <f t="shared" si="83"/>
        <v>434</v>
      </c>
      <c r="B451" s="340">
        <f t="shared" si="84"/>
        <v>59476</v>
      </c>
      <c r="C451" s="336">
        <f t="shared" ca="1" si="85"/>
        <v>0</v>
      </c>
      <c r="D451" s="335"/>
      <c r="E451" s="336">
        <f t="shared" ca="1" si="86"/>
        <v>0</v>
      </c>
      <c r="F451" s="336">
        <f t="shared" ca="1" si="87"/>
        <v>0</v>
      </c>
      <c r="G451" s="343">
        <f t="shared" ca="1" si="88"/>
        <v>0</v>
      </c>
      <c r="H451" s="336">
        <f t="shared" ca="1" si="89"/>
        <v>0</v>
      </c>
      <c r="I451" s="337">
        <f t="shared" ca="1" si="90"/>
        <v>0</v>
      </c>
    </row>
    <row r="452" spans="1:9">
      <c r="A452" s="335">
        <f t="shared" si="83"/>
        <v>435</v>
      </c>
      <c r="B452" s="340">
        <f t="shared" si="84"/>
        <v>59506</v>
      </c>
      <c r="C452" s="336">
        <f t="shared" ca="1" si="85"/>
        <v>0</v>
      </c>
      <c r="D452" s="335"/>
      <c r="E452" s="336">
        <f t="shared" ca="1" si="86"/>
        <v>0</v>
      </c>
      <c r="F452" s="336">
        <f t="shared" ca="1" si="87"/>
        <v>0</v>
      </c>
      <c r="G452" s="343">
        <f t="shared" ca="1" si="88"/>
        <v>0</v>
      </c>
      <c r="H452" s="336">
        <f t="shared" ca="1" si="89"/>
        <v>0</v>
      </c>
      <c r="I452" s="337">
        <f t="shared" ca="1" si="90"/>
        <v>0</v>
      </c>
    </row>
    <row r="453" spans="1:9">
      <c r="A453" s="335">
        <f t="shared" si="83"/>
        <v>436</v>
      </c>
      <c r="B453" s="340">
        <f t="shared" si="84"/>
        <v>59537</v>
      </c>
      <c r="C453" s="336">
        <f t="shared" ca="1" si="85"/>
        <v>0</v>
      </c>
      <c r="D453" s="335"/>
      <c r="E453" s="336">
        <f t="shared" ca="1" si="86"/>
        <v>0</v>
      </c>
      <c r="F453" s="336">
        <f t="shared" ca="1" si="87"/>
        <v>0</v>
      </c>
      <c r="G453" s="343">
        <f t="shared" ca="1" si="88"/>
        <v>0</v>
      </c>
      <c r="H453" s="336">
        <f t="shared" ca="1" si="89"/>
        <v>0</v>
      </c>
      <c r="I453" s="337">
        <f t="shared" ca="1" si="90"/>
        <v>0</v>
      </c>
    </row>
    <row r="454" spans="1:9">
      <c r="A454" s="335">
        <f t="shared" si="83"/>
        <v>437</v>
      </c>
      <c r="B454" s="340">
        <f t="shared" si="84"/>
        <v>59568</v>
      </c>
      <c r="C454" s="336">
        <f t="shared" ca="1" si="85"/>
        <v>0</v>
      </c>
      <c r="D454" s="335"/>
      <c r="E454" s="336">
        <f t="shared" ca="1" si="86"/>
        <v>0</v>
      </c>
      <c r="F454" s="336">
        <f t="shared" ca="1" si="87"/>
        <v>0</v>
      </c>
      <c r="G454" s="343">
        <f t="shared" ca="1" si="88"/>
        <v>0</v>
      </c>
      <c r="H454" s="336">
        <f t="shared" ca="1" si="89"/>
        <v>0</v>
      </c>
      <c r="I454" s="337">
        <f t="shared" ca="1" si="90"/>
        <v>0</v>
      </c>
    </row>
    <row r="455" spans="1:9">
      <c r="A455" s="335">
        <f t="shared" si="83"/>
        <v>438</v>
      </c>
      <c r="B455" s="340">
        <f t="shared" si="84"/>
        <v>59596</v>
      </c>
      <c r="C455" s="336">
        <f t="shared" ca="1" si="85"/>
        <v>0</v>
      </c>
      <c r="D455" s="335"/>
      <c r="E455" s="336">
        <f t="shared" ca="1" si="86"/>
        <v>0</v>
      </c>
      <c r="F455" s="336">
        <f t="shared" ca="1" si="87"/>
        <v>0</v>
      </c>
      <c r="G455" s="343">
        <f t="shared" ca="1" si="88"/>
        <v>0</v>
      </c>
      <c r="H455" s="336">
        <f t="shared" ca="1" si="89"/>
        <v>0</v>
      </c>
      <c r="I455" s="337">
        <f t="shared" ca="1" si="90"/>
        <v>0</v>
      </c>
    </row>
    <row r="456" spans="1:9">
      <c r="A456" s="335">
        <f t="shared" si="83"/>
        <v>439</v>
      </c>
      <c r="B456" s="340">
        <f t="shared" si="84"/>
        <v>59627</v>
      </c>
      <c r="C456" s="336">
        <f t="shared" ca="1" si="85"/>
        <v>0</v>
      </c>
      <c r="D456" s="335"/>
      <c r="E456" s="336">
        <f t="shared" ca="1" si="86"/>
        <v>0</v>
      </c>
      <c r="F456" s="336">
        <f t="shared" ca="1" si="87"/>
        <v>0</v>
      </c>
      <c r="G456" s="343">
        <f t="shared" ca="1" si="88"/>
        <v>0</v>
      </c>
      <c r="H456" s="336">
        <f t="shared" ca="1" si="89"/>
        <v>0</v>
      </c>
      <c r="I456" s="337">
        <f t="shared" ca="1" si="90"/>
        <v>0</v>
      </c>
    </row>
    <row r="457" spans="1:9">
      <c r="A457" s="335">
        <f t="shared" si="83"/>
        <v>440</v>
      </c>
      <c r="B457" s="340">
        <f t="shared" si="84"/>
        <v>59657</v>
      </c>
      <c r="C457" s="336">
        <f t="shared" ca="1" si="85"/>
        <v>0</v>
      </c>
      <c r="D457" s="335"/>
      <c r="E457" s="336">
        <f t="shared" ca="1" si="86"/>
        <v>0</v>
      </c>
      <c r="F457" s="336">
        <f t="shared" ca="1" si="87"/>
        <v>0</v>
      </c>
      <c r="G457" s="343">
        <f t="shared" ca="1" si="88"/>
        <v>0</v>
      </c>
      <c r="H457" s="336">
        <f t="shared" ca="1" si="89"/>
        <v>0</v>
      </c>
      <c r="I457" s="337">
        <f t="shared" ca="1" si="90"/>
        <v>0</v>
      </c>
    </row>
    <row r="458" spans="1:9">
      <c r="A458" s="335">
        <f t="shared" si="83"/>
        <v>441</v>
      </c>
      <c r="B458" s="340">
        <f t="shared" si="84"/>
        <v>59688</v>
      </c>
      <c r="C458" s="336">
        <f t="shared" ca="1" si="85"/>
        <v>0</v>
      </c>
      <c r="D458" s="335"/>
      <c r="E458" s="336">
        <f t="shared" ca="1" si="86"/>
        <v>0</v>
      </c>
      <c r="F458" s="336">
        <f t="shared" ca="1" si="87"/>
        <v>0</v>
      </c>
      <c r="G458" s="343">
        <f t="shared" ca="1" si="88"/>
        <v>0</v>
      </c>
      <c r="H458" s="336">
        <f t="shared" ca="1" si="89"/>
        <v>0</v>
      </c>
      <c r="I458" s="337">
        <f t="shared" ca="1" si="90"/>
        <v>0</v>
      </c>
    </row>
    <row r="459" spans="1:9">
      <c r="A459" s="335">
        <f t="shared" si="83"/>
        <v>442</v>
      </c>
      <c r="B459" s="340">
        <f t="shared" si="84"/>
        <v>59718</v>
      </c>
      <c r="C459" s="336">
        <f t="shared" ca="1" si="85"/>
        <v>0</v>
      </c>
      <c r="D459" s="335"/>
      <c r="E459" s="336">
        <f t="shared" ca="1" si="86"/>
        <v>0</v>
      </c>
      <c r="F459" s="336">
        <f t="shared" ca="1" si="87"/>
        <v>0</v>
      </c>
      <c r="G459" s="343">
        <f t="shared" ca="1" si="88"/>
        <v>0</v>
      </c>
      <c r="H459" s="336">
        <f t="shared" ca="1" si="89"/>
        <v>0</v>
      </c>
      <c r="I459" s="337">
        <f t="shared" ca="1" si="90"/>
        <v>0</v>
      </c>
    </row>
    <row r="460" spans="1:9">
      <c r="A460" s="335">
        <f t="shared" si="83"/>
        <v>443</v>
      </c>
      <c r="B460" s="340">
        <f t="shared" si="84"/>
        <v>59749</v>
      </c>
      <c r="C460" s="336">
        <f t="shared" ca="1" si="85"/>
        <v>0</v>
      </c>
      <c r="D460" s="335"/>
      <c r="E460" s="336">
        <f t="shared" ca="1" si="86"/>
        <v>0</v>
      </c>
      <c r="F460" s="336">
        <f t="shared" ca="1" si="87"/>
        <v>0</v>
      </c>
      <c r="G460" s="343">
        <f t="shared" ca="1" si="88"/>
        <v>0</v>
      </c>
      <c r="H460" s="336">
        <f t="shared" ca="1" si="89"/>
        <v>0</v>
      </c>
      <c r="I460" s="337">
        <f t="shared" ca="1" si="90"/>
        <v>0</v>
      </c>
    </row>
    <row r="461" spans="1:9">
      <c r="A461" s="335">
        <f t="shared" si="83"/>
        <v>444</v>
      </c>
      <c r="B461" s="340">
        <f t="shared" si="84"/>
        <v>59780</v>
      </c>
      <c r="C461" s="336">
        <f t="shared" ca="1" si="85"/>
        <v>0</v>
      </c>
      <c r="D461" s="336">
        <f ca="1">IF(H318&lt;0,0,(K54-L54)/11)</f>
        <v>223492.63636363635</v>
      </c>
      <c r="E461" s="336">
        <f t="shared" ca="1" si="86"/>
        <v>0</v>
      </c>
      <c r="F461" s="336">
        <f t="shared" ca="1" si="87"/>
        <v>0</v>
      </c>
      <c r="G461" s="343">
        <f t="shared" ca="1" si="88"/>
        <v>0</v>
      </c>
      <c r="H461" s="336">
        <f t="shared" ca="1" si="89"/>
        <v>0</v>
      </c>
      <c r="I461" s="337">
        <f t="shared" ca="1" si="90"/>
        <v>223493</v>
      </c>
    </row>
    <row r="462" spans="1:9">
      <c r="A462" s="335">
        <f t="shared" si="83"/>
        <v>445</v>
      </c>
      <c r="B462" s="340">
        <f t="shared" si="84"/>
        <v>59810</v>
      </c>
      <c r="C462" s="336">
        <f t="shared" ca="1" si="85"/>
        <v>0</v>
      </c>
      <c r="D462" s="335"/>
      <c r="E462" s="336">
        <f t="shared" si="86"/>
        <v>0</v>
      </c>
      <c r="F462" s="336">
        <f t="shared" ca="1" si="87"/>
        <v>0</v>
      </c>
      <c r="G462" s="343">
        <f t="shared" ca="1" si="88"/>
        <v>0</v>
      </c>
      <c r="H462" s="336">
        <f t="shared" ca="1" si="89"/>
        <v>0</v>
      </c>
      <c r="I462" s="337">
        <f t="shared" ca="1" si="90"/>
        <v>0</v>
      </c>
    </row>
    <row r="463" spans="1:9">
      <c r="A463" s="335">
        <f t="shared" si="83"/>
        <v>446</v>
      </c>
      <c r="B463" s="340">
        <f t="shared" si="84"/>
        <v>59841</v>
      </c>
      <c r="C463" s="336">
        <f t="shared" ca="1" si="85"/>
        <v>0</v>
      </c>
      <c r="D463" s="335"/>
      <c r="E463" s="336">
        <f t="shared" ca="1" si="86"/>
        <v>0</v>
      </c>
      <c r="F463" s="336">
        <f t="shared" ca="1" si="87"/>
        <v>0</v>
      </c>
      <c r="G463" s="343">
        <f t="shared" ca="1" si="88"/>
        <v>0</v>
      </c>
      <c r="H463" s="336">
        <f t="shared" ca="1" si="89"/>
        <v>0</v>
      </c>
      <c r="I463" s="337">
        <f t="shared" ca="1" si="90"/>
        <v>0</v>
      </c>
    </row>
    <row r="464" spans="1:9">
      <c r="A464" s="335">
        <f t="shared" si="83"/>
        <v>447</v>
      </c>
      <c r="B464" s="340">
        <f t="shared" si="84"/>
        <v>59871</v>
      </c>
      <c r="C464" s="336">
        <f t="shared" ca="1" si="85"/>
        <v>0</v>
      </c>
      <c r="D464" s="335"/>
      <c r="E464" s="336">
        <f t="shared" ca="1" si="86"/>
        <v>0</v>
      </c>
      <c r="F464" s="336">
        <f t="shared" ca="1" si="87"/>
        <v>0</v>
      </c>
      <c r="G464" s="343">
        <f t="shared" ca="1" si="88"/>
        <v>0</v>
      </c>
      <c r="H464" s="336">
        <f t="shared" ca="1" si="89"/>
        <v>0</v>
      </c>
      <c r="I464" s="337">
        <f t="shared" ca="1" si="90"/>
        <v>0</v>
      </c>
    </row>
    <row r="465" spans="1:9">
      <c r="A465" s="335">
        <f t="shared" si="83"/>
        <v>448</v>
      </c>
      <c r="B465" s="340">
        <f t="shared" si="84"/>
        <v>59902</v>
      </c>
      <c r="C465" s="336">
        <f t="shared" ca="1" si="85"/>
        <v>0</v>
      </c>
      <c r="D465" s="335"/>
      <c r="E465" s="336">
        <f t="shared" ca="1" si="86"/>
        <v>0</v>
      </c>
      <c r="F465" s="336">
        <f t="shared" ca="1" si="87"/>
        <v>0</v>
      </c>
      <c r="G465" s="343">
        <f t="shared" ca="1" si="88"/>
        <v>0</v>
      </c>
      <c r="H465" s="336">
        <f t="shared" ca="1" si="89"/>
        <v>0</v>
      </c>
      <c r="I465" s="337">
        <f t="shared" ca="1" si="90"/>
        <v>0</v>
      </c>
    </row>
    <row r="466" spans="1:9">
      <c r="A466" s="335">
        <f t="shared" si="83"/>
        <v>449</v>
      </c>
      <c r="B466" s="340">
        <f t="shared" si="84"/>
        <v>59933</v>
      </c>
      <c r="C466" s="336">
        <f t="shared" ca="1" si="85"/>
        <v>0</v>
      </c>
      <c r="D466" s="335"/>
      <c r="E466" s="336">
        <f t="shared" ca="1" si="86"/>
        <v>0</v>
      </c>
      <c r="F466" s="336">
        <f t="shared" ca="1" si="87"/>
        <v>0</v>
      </c>
      <c r="G466" s="343">
        <f t="shared" ca="1" si="88"/>
        <v>0</v>
      </c>
      <c r="H466" s="336">
        <f t="shared" ca="1" si="89"/>
        <v>0</v>
      </c>
      <c r="I466" s="337">
        <f t="shared" ca="1" si="90"/>
        <v>0</v>
      </c>
    </row>
    <row r="467" spans="1:9">
      <c r="A467" s="335">
        <f t="shared" ref="A467:A497" si="91">IF(A466="","",IF(A466=$D$6,"",A466+1))</f>
        <v>450</v>
      </c>
      <c r="B467" s="340">
        <f t="shared" si="84"/>
        <v>59962</v>
      </c>
      <c r="C467" s="336">
        <f t="shared" ca="1" si="85"/>
        <v>0</v>
      </c>
      <c r="D467" s="335"/>
      <c r="E467" s="336">
        <f t="shared" ca="1" si="86"/>
        <v>0</v>
      </c>
      <c r="F467" s="336">
        <f t="shared" ca="1" si="87"/>
        <v>0</v>
      </c>
      <c r="G467" s="343">
        <f t="shared" ca="1" si="88"/>
        <v>0</v>
      </c>
      <c r="H467" s="336">
        <f t="shared" ca="1" si="89"/>
        <v>0</v>
      </c>
      <c r="I467" s="337">
        <f t="shared" ca="1" si="90"/>
        <v>0</v>
      </c>
    </row>
    <row r="468" spans="1:9">
      <c r="A468" s="335">
        <f t="shared" si="91"/>
        <v>451</v>
      </c>
      <c r="B468" s="340">
        <f t="shared" ref="B468:B497" si="92">DATE(YEAR(B467),MONTH(B467)+1,1)</f>
        <v>59993</v>
      </c>
      <c r="C468" s="336">
        <f t="shared" ca="1" si="85"/>
        <v>0</v>
      </c>
      <c r="D468" s="335"/>
      <c r="E468" s="336">
        <f t="shared" ca="1" si="86"/>
        <v>0</v>
      </c>
      <c r="F468" s="336">
        <f t="shared" ca="1" si="87"/>
        <v>0</v>
      </c>
      <c r="G468" s="343">
        <f t="shared" ca="1" si="88"/>
        <v>0</v>
      </c>
      <c r="H468" s="336">
        <f t="shared" ca="1" si="89"/>
        <v>0</v>
      </c>
      <c r="I468" s="337">
        <f t="shared" ca="1" si="90"/>
        <v>0</v>
      </c>
    </row>
    <row r="469" spans="1:9">
      <c r="A469" s="335">
        <f t="shared" si="91"/>
        <v>452</v>
      </c>
      <c r="B469" s="340">
        <f t="shared" si="92"/>
        <v>60023</v>
      </c>
      <c r="C469" s="336">
        <f t="shared" ca="1" si="85"/>
        <v>0</v>
      </c>
      <c r="D469" s="335"/>
      <c r="E469" s="336">
        <f t="shared" ca="1" si="86"/>
        <v>0</v>
      </c>
      <c r="F469" s="336">
        <f t="shared" ca="1" si="87"/>
        <v>0</v>
      </c>
      <c r="G469" s="343">
        <f t="shared" ca="1" si="88"/>
        <v>0</v>
      </c>
      <c r="H469" s="336">
        <f t="shared" ca="1" si="89"/>
        <v>0</v>
      </c>
      <c r="I469" s="337">
        <f t="shared" ca="1" si="90"/>
        <v>0</v>
      </c>
    </row>
    <row r="470" spans="1:9">
      <c r="A470" s="335">
        <f t="shared" si="91"/>
        <v>453</v>
      </c>
      <c r="B470" s="340">
        <f t="shared" si="92"/>
        <v>60054</v>
      </c>
      <c r="C470" s="336">
        <f t="shared" ca="1" si="85"/>
        <v>0</v>
      </c>
      <c r="D470" s="335"/>
      <c r="E470" s="336">
        <f t="shared" ca="1" si="86"/>
        <v>0</v>
      </c>
      <c r="F470" s="336">
        <f t="shared" ca="1" si="87"/>
        <v>0</v>
      </c>
      <c r="G470" s="343">
        <f t="shared" ca="1" si="88"/>
        <v>0</v>
      </c>
      <c r="H470" s="336">
        <f t="shared" ca="1" si="89"/>
        <v>0</v>
      </c>
      <c r="I470" s="337">
        <f t="shared" ca="1" si="90"/>
        <v>0</v>
      </c>
    </row>
    <row r="471" spans="1:9">
      <c r="A471" s="335">
        <f t="shared" si="91"/>
        <v>454</v>
      </c>
      <c r="B471" s="340">
        <f t="shared" si="92"/>
        <v>60084</v>
      </c>
      <c r="C471" s="336">
        <f t="shared" ca="1" si="85"/>
        <v>0</v>
      </c>
      <c r="D471" s="335"/>
      <c r="E471" s="336">
        <f t="shared" ca="1" si="86"/>
        <v>0</v>
      </c>
      <c r="F471" s="336">
        <f t="shared" ca="1" si="87"/>
        <v>0</v>
      </c>
      <c r="G471" s="343">
        <f t="shared" ca="1" si="88"/>
        <v>0</v>
      </c>
      <c r="H471" s="336">
        <f t="shared" ca="1" si="89"/>
        <v>0</v>
      </c>
      <c r="I471" s="337">
        <f t="shared" ca="1" si="90"/>
        <v>0</v>
      </c>
    </row>
    <row r="472" spans="1:9">
      <c r="A472" s="335">
        <f t="shared" si="91"/>
        <v>455</v>
      </c>
      <c r="B472" s="340">
        <f t="shared" si="92"/>
        <v>60115</v>
      </c>
      <c r="C472" s="336">
        <f t="shared" ca="1" si="85"/>
        <v>0</v>
      </c>
      <c r="D472" s="335"/>
      <c r="E472" s="336">
        <f t="shared" ca="1" si="86"/>
        <v>0</v>
      </c>
      <c r="F472" s="336">
        <f t="shared" ca="1" si="87"/>
        <v>0</v>
      </c>
      <c r="G472" s="343">
        <f t="shared" ca="1" si="88"/>
        <v>0</v>
      </c>
      <c r="H472" s="336">
        <f t="shared" ca="1" si="89"/>
        <v>0</v>
      </c>
      <c r="I472" s="337">
        <f t="shared" ca="1" si="90"/>
        <v>0</v>
      </c>
    </row>
    <row r="473" spans="1:9">
      <c r="A473" s="335">
        <f t="shared" si="91"/>
        <v>456</v>
      </c>
      <c r="B473" s="340">
        <f t="shared" si="92"/>
        <v>60146</v>
      </c>
      <c r="C473" s="336">
        <f t="shared" ca="1" si="85"/>
        <v>0</v>
      </c>
      <c r="D473" s="336">
        <f ca="1">IF(H319&lt;0,0,(K55-L55)/11)</f>
        <v>223492.63636363635</v>
      </c>
      <c r="E473" s="336">
        <f t="shared" ca="1" si="86"/>
        <v>0</v>
      </c>
      <c r="F473" s="336">
        <f t="shared" ca="1" si="87"/>
        <v>0</v>
      </c>
      <c r="G473" s="343">
        <f t="shared" ca="1" si="88"/>
        <v>0</v>
      </c>
      <c r="H473" s="336">
        <f t="shared" ca="1" si="89"/>
        <v>0</v>
      </c>
      <c r="I473" s="337">
        <f t="shared" ca="1" si="90"/>
        <v>223493</v>
      </c>
    </row>
    <row r="474" spans="1:9">
      <c r="A474" s="335">
        <f t="shared" si="91"/>
        <v>457</v>
      </c>
      <c r="B474" s="340">
        <f t="shared" si="92"/>
        <v>60176</v>
      </c>
      <c r="C474" s="336">
        <f t="shared" ca="1" si="85"/>
        <v>0</v>
      </c>
      <c r="D474" s="335"/>
      <c r="E474" s="336">
        <f t="shared" si="86"/>
        <v>0</v>
      </c>
      <c r="F474" s="336">
        <f t="shared" ca="1" si="87"/>
        <v>0</v>
      </c>
      <c r="G474" s="343">
        <f t="shared" ca="1" si="88"/>
        <v>0</v>
      </c>
      <c r="H474" s="336">
        <f t="shared" ca="1" si="89"/>
        <v>0</v>
      </c>
      <c r="I474" s="337">
        <f t="shared" ca="1" si="90"/>
        <v>0</v>
      </c>
    </row>
    <row r="475" spans="1:9">
      <c r="A475" s="335">
        <f t="shared" si="91"/>
        <v>458</v>
      </c>
      <c r="B475" s="340">
        <f t="shared" si="92"/>
        <v>60207</v>
      </c>
      <c r="C475" s="336">
        <f t="shared" ca="1" si="85"/>
        <v>0</v>
      </c>
      <c r="D475" s="335"/>
      <c r="E475" s="336">
        <f t="shared" ca="1" si="86"/>
        <v>0</v>
      </c>
      <c r="F475" s="336">
        <f t="shared" ca="1" si="87"/>
        <v>0</v>
      </c>
      <c r="G475" s="343">
        <f t="shared" ca="1" si="88"/>
        <v>0</v>
      </c>
      <c r="H475" s="336">
        <f t="shared" ca="1" si="89"/>
        <v>0</v>
      </c>
      <c r="I475" s="337">
        <f t="shared" ca="1" si="90"/>
        <v>0</v>
      </c>
    </row>
    <row r="476" spans="1:9">
      <c r="A476" s="335">
        <f t="shared" si="91"/>
        <v>459</v>
      </c>
      <c r="B476" s="340">
        <f t="shared" si="92"/>
        <v>60237</v>
      </c>
      <c r="C476" s="336">
        <f t="shared" ca="1" si="85"/>
        <v>0</v>
      </c>
      <c r="D476" s="335"/>
      <c r="E476" s="336">
        <f t="shared" ca="1" si="86"/>
        <v>0</v>
      </c>
      <c r="F476" s="336">
        <f t="shared" ca="1" si="87"/>
        <v>0</v>
      </c>
      <c r="G476" s="343">
        <f t="shared" ca="1" si="88"/>
        <v>0</v>
      </c>
      <c r="H476" s="336">
        <f t="shared" ca="1" si="89"/>
        <v>0</v>
      </c>
      <c r="I476" s="337">
        <f t="shared" ca="1" si="90"/>
        <v>0</v>
      </c>
    </row>
    <row r="477" spans="1:9">
      <c r="A477" s="335">
        <f t="shared" si="91"/>
        <v>460</v>
      </c>
      <c r="B477" s="340">
        <f t="shared" si="92"/>
        <v>60268</v>
      </c>
      <c r="C477" s="336">
        <f t="shared" ca="1" si="85"/>
        <v>0</v>
      </c>
      <c r="D477" s="335"/>
      <c r="E477" s="336">
        <f t="shared" ca="1" si="86"/>
        <v>0</v>
      </c>
      <c r="F477" s="336">
        <f t="shared" ca="1" si="87"/>
        <v>0</v>
      </c>
      <c r="G477" s="343">
        <f t="shared" ca="1" si="88"/>
        <v>0</v>
      </c>
      <c r="H477" s="336">
        <f t="shared" ca="1" si="89"/>
        <v>0</v>
      </c>
      <c r="I477" s="337">
        <f t="shared" ca="1" si="90"/>
        <v>0</v>
      </c>
    </row>
    <row r="478" spans="1:9">
      <c r="A478" s="335">
        <f t="shared" si="91"/>
        <v>461</v>
      </c>
      <c r="B478" s="340">
        <f t="shared" si="92"/>
        <v>60299</v>
      </c>
      <c r="C478" s="336">
        <f t="shared" ca="1" si="85"/>
        <v>0</v>
      </c>
      <c r="D478" s="335"/>
      <c r="E478" s="336">
        <f t="shared" ca="1" si="86"/>
        <v>0</v>
      </c>
      <c r="F478" s="336">
        <f t="shared" ca="1" si="87"/>
        <v>0</v>
      </c>
      <c r="G478" s="343">
        <f t="shared" ca="1" si="88"/>
        <v>0</v>
      </c>
      <c r="H478" s="336">
        <f t="shared" ca="1" si="89"/>
        <v>0</v>
      </c>
      <c r="I478" s="337">
        <f t="shared" ca="1" si="90"/>
        <v>0</v>
      </c>
    </row>
    <row r="479" spans="1:9">
      <c r="A479" s="335">
        <f t="shared" si="91"/>
        <v>462</v>
      </c>
      <c r="B479" s="340">
        <f t="shared" si="92"/>
        <v>60327</v>
      </c>
      <c r="C479" s="336">
        <f t="shared" ca="1" si="85"/>
        <v>0</v>
      </c>
      <c r="D479" s="335"/>
      <c r="E479" s="336">
        <f t="shared" ca="1" si="86"/>
        <v>0</v>
      </c>
      <c r="F479" s="336">
        <f t="shared" ca="1" si="87"/>
        <v>0</v>
      </c>
      <c r="G479" s="343">
        <f t="shared" ca="1" si="88"/>
        <v>0</v>
      </c>
      <c r="H479" s="336">
        <f t="shared" ca="1" si="89"/>
        <v>0</v>
      </c>
      <c r="I479" s="337">
        <f t="shared" ca="1" si="90"/>
        <v>0</v>
      </c>
    </row>
    <row r="480" spans="1:9">
      <c r="A480" s="335">
        <f t="shared" si="91"/>
        <v>463</v>
      </c>
      <c r="B480" s="340">
        <f t="shared" si="92"/>
        <v>60358</v>
      </c>
      <c r="C480" s="336">
        <f t="shared" ca="1" si="85"/>
        <v>0</v>
      </c>
      <c r="D480" s="335"/>
      <c r="E480" s="336">
        <f t="shared" ca="1" si="86"/>
        <v>0</v>
      </c>
      <c r="F480" s="336">
        <f t="shared" ca="1" si="87"/>
        <v>0</v>
      </c>
      <c r="G480" s="343">
        <f t="shared" ca="1" si="88"/>
        <v>0</v>
      </c>
      <c r="H480" s="336">
        <f t="shared" ca="1" si="89"/>
        <v>0</v>
      </c>
      <c r="I480" s="337">
        <f t="shared" ca="1" si="90"/>
        <v>0</v>
      </c>
    </row>
    <row r="481" spans="1:9">
      <c r="A481" s="335">
        <f t="shared" si="91"/>
        <v>464</v>
      </c>
      <c r="B481" s="340">
        <f t="shared" si="92"/>
        <v>60388</v>
      </c>
      <c r="C481" s="336">
        <f t="shared" ca="1" si="85"/>
        <v>0</v>
      </c>
      <c r="D481" s="335"/>
      <c r="E481" s="336">
        <f t="shared" ca="1" si="86"/>
        <v>0</v>
      </c>
      <c r="F481" s="336">
        <f t="shared" ca="1" si="87"/>
        <v>0</v>
      </c>
      <c r="G481" s="343">
        <f t="shared" ca="1" si="88"/>
        <v>0</v>
      </c>
      <c r="H481" s="336">
        <f t="shared" ca="1" si="89"/>
        <v>0</v>
      </c>
      <c r="I481" s="337">
        <f t="shared" ca="1" si="90"/>
        <v>0</v>
      </c>
    </row>
    <row r="482" spans="1:9">
      <c r="A482" s="335">
        <f t="shared" si="91"/>
        <v>465</v>
      </c>
      <c r="B482" s="340">
        <f t="shared" si="92"/>
        <v>60419</v>
      </c>
      <c r="C482" s="336">
        <f t="shared" ca="1" si="85"/>
        <v>0</v>
      </c>
      <c r="D482" s="335"/>
      <c r="E482" s="336">
        <f t="shared" ca="1" si="86"/>
        <v>0</v>
      </c>
      <c r="F482" s="336">
        <f t="shared" ca="1" si="87"/>
        <v>0</v>
      </c>
      <c r="G482" s="343">
        <f t="shared" ca="1" si="88"/>
        <v>0</v>
      </c>
      <c r="H482" s="336">
        <f t="shared" ca="1" si="89"/>
        <v>0</v>
      </c>
      <c r="I482" s="337">
        <f t="shared" ca="1" si="90"/>
        <v>0</v>
      </c>
    </row>
    <row r="483" spans="1:9">
      <c r="A483" s="335">
        <f t="shared" si="91"/>
        <v>466</v>
      </c>
      <c r="B483" s="340">
        <f t="shared" si="92"/>
        <v>60449</v>
      </c>
      <c r="C483" s="336">
        <f t="shared" ca="1" si="85"/>
        <v>0</v>
      </c>
      <c r="D483" s="335"/>
      <c r="E483" s="336">
        <f t="shared" ca="1" si="86"/>
        <v>0</v>
      </c>
      <c r="F483" s="336">
        <f t="shared" ca="1" si="87"/>
        <v>0</v>
      </c>
      <c r="G483" s="343">
        <f t="shared" ca="1" si="88"/>
        <v>0</v>
      </c>
      <c r="H483" s="336">
        <f t="shared" ca="1" si="89"/>
        <v>0</v>
      </c>
      <c r="I483" s="337">
        <f t="shared" ca="1" si="90"/>
        <v>0</v>
      </c>
    </row>
    <row r="484" spans="1:9">
      <c r="A484" s="335">
        <f t="shared" si="91"/>
        <v>467</v>
      </c>
      <c r="B484" s="340">
        <f t="shared" si="92"/>
        <v>60480</v>
      </c>
      <c r="C484" s="336">
        <f t="shared" ca="1" si="85"/>
        <v>0</v>
      </c>
      <c r="D484" s="335"/>
      <c r="E484" s="336">
        <f t="shared" ca="1" si="86"/>
        <v>0</v>
      </c>
      <c r="F484" s="336">
        <f t="shared" ca="1" si="87"/>
        <v>0</v>
      </c>
      <c r="G484" s="343">
        <f t="shared" ca="1" si="88"/>
        <v>0</v>
      </c>
      <c r="H484" s="336">
        <f t="shared" ca="1" si="89"/>
        <v>0</v>
      </c>
      <c r="I484" s="337">
        <f t="shared" ca="1" si="90"/>
        <v>0</v>
      </c>
    </row>
    <row r="485" spans="1:9">
      <c r="A485" s="335">
        <f t="shared" si="91"/>
        <v>468</v>
      </c>
      <c r="B485" s="340">
        <f t="shared" si="92"/>
        <v>60511</v>
      </c>
      <c r="C485" s="336">
        <f t="shared" ca="1" si="85"/>
        <v>0</v>
      </c>
      <c r="D485" s="336">
        <f ca="1">IF(H320&lt;0,0,(K56-L56)/11)</f>
        <v>223492.63636363635</v>
      </c>
      <c r="E485" s="336">
        <f t="shared" ca="1" si="86"/>
        <v>0</v>
      </c>
      <c r="F485" s="336">
        <f t="shared" ca="1" si="87"/>
        <v>0</v>
      </c>
      <c r="G485" s="343">
        <f t="shared" ca="1" si="88"/>
        <v>0</v>
      </c>
      <c r="H485" s="336">
        <f t="shared" ca="1" si="89"/>
        <v>0</v>
      </c>
      <c r="I485" s="337">
        <f t="shared" ca="1" si="90"/>
        <v>223493</v>
      </c>
    </row>
    <row r="486" spans="1:9">
      <c r="A486" s="335">
        <f t="shared" si="91"/>
        <v>469</v>
      </c>
      <c r="B486" s="340">
        <f t="shared" si="92"/>
        <v>60541</v>
      </c>
      <c r="C486" s="336">
        <f t="shared" ca="1" si="85"/>
        <v>0</v>
      </c>
      <c r="D486" s="336"/>
      <c r="E486" s="336">
        <f t="shared" si="86"/>
        <v>0</v>
      </c>
      <c r="F486" s="336">
        <f t="shared" ca="1" si="87"/>
        <v>0</v>
      </c>
      <c r="G486" s="343">
        <f t="shared" ca="1" si="88"/>
        <v>0</v>
      </c>
      <c r="H486" s="336">
        <f t="shared" ca="1" si="89"/>
        <v>0</v>
      </c>
      <c r="I486" s="337">
        <f t="shared" ca="1" si="90"/>
        <v>0</v>
      </c>
    </row>
    <row r="487" spans="1:9">
      <c r="A487" s="335">
        <f t="shared" si="91"/>
        <v>470</v>
      </c>
      <c r="B487" s="340">
        <f t="shared" si="92"/>
        <v>60572</v>
      </c>
      <c r="C487" s="336">
        <f t="shared" ca="1" si="85"/>
        <v>0</v>
      </c>
      <c r="D487" s="335"/>
      <c r="E487" s="336">
        <f t="shared" ca="1" si="86"/>
        <v>0</v>
      </c>
      <c r="F487" s="336">
        <f t="shared" ca="1" si="87"/>
        <v>0</v>
      </c>
      <c r="G487" s="343">
        <f t="shared" ca="1" si="88"/>
        <v>0</v>
      </c>
      <c r="H487" s="336">
        <f t="shared" ca="1" si="89"/>
        <v>0</v>
      </c>
      <c r="I487" s="337">
        <f t="shared" ca="1" si="90"/>
        <v>0</v>
      </c>
    </row>
    <row r="488" spans="1:9">
      <c r="A488" s="335">
        <f t="shared" si="91"/>
        <v>471</v>
      </c>
      <c r="B488" s="340">
        <f t="shared" si="92"/>
        <v>60602</v>
      </c>
      <c r="C488" s="336">
        <f t="shared" ca="1" si="85"/>
        <v>0</v>
      </c>
      <c r="D488" s="335"/>
      <c r="E488" s="336">
        <f t="shared" ca="1" si="86"/>
        <v>0</v>
      </c>
      <c r="F488" s="336">
        <f t="shared" ca="1" si="87"/>
        <v>0</v>
      </c>
      <c r="G488" s="343">
        <f t="shared" ca="1" si="88"/>
        <v>0</v>
      </c>
      <c r="H488" s="336">
        <f t="shared" ca="1" si="89"/>
        <v>0</v>
      </c>
      <c r="I488" s="337">
        <f t="shared" ca="1" si="90"/>
        <v>0</v>
      </c>
    </row>
    <row r="489" spans="1:9">
      <c r="A489" s="335">
        <f t="shared" si="91"/>
        <v>472</v>
      </c>
      <c r="B489" s="340">
        <f t="shared" si="92"/>
        <v>60633</v>
      </c>
      <c r="C489" s="336">
        <f t="shared" ca="1" si="85"/>
        <v>0</v>
      </c>
      <c r="D489" s="335"/>
      <c r="E489" s="336">
        <f t="shared" ca="1" si="86"/>
        <v>0</v>
      </c>
      <c r="F489" s="336">
        <f t="shared" ca="1" si="87"/>
        <v>0</v>
      </c>
      <c r="G489" s="343">
        <f t="shared" ca="1" si="88"/>
        <v>0</v>
      </c>
      <c r="H489" s="336">
        <f t="shared" ca="1" si="89"/>
        <v>0</v>
      </c>
      <c r="I489" s="337">
        <f t="shared" ca="1" si="90"/>
        <v>0</v>
      </c>
    </row>
    <row r="490" spans="1:9">
      <c r="A490" s="335">
        <f t="shared" si="91"/>
        <v>473</v>
      </c>
      <c r="B490" s="340">
        <f t="shared" si="92"/>
        <v>60664</v>
      </c>
      <c r="C490" s="336">
        <f t="shared" ca="1" si="85"/>
        <v>0</v>
      </c>
      <c r="D490" s="335"/>
      <c r="E490" s="336">
        <f t="shared" ca="1" si="86"/>
        <v>0</v>
      </c>
      <c r="F490" s="336">
        <f t="shared" ca="1" si="87"/>
        <v>0</v>
      </c>
      <c r="G490" s="343">
        <f t="shared" ca="1" si="88"/>
        <v>0</v>
      </c>
      <c r="H490" s="336">
        <f t="shared" ca="1" si="89"/>
        <v>0</v>
      </c>
      <c r="I490" s="337">
        <f t="shared" ca="1" si="90"/>
        <v>0</v>
      </c>
    </row>
    <row r="491" spans="1:9">
      <c r="A491" s="335">
        <f t="shared" si="91"/>
        <v>474</v>
      </c>
      <c r="B491" s="340">
        <f t="shared" si="92"/>
        <v>60692</v>
      </c>
      <c r="C491" s="336">
        <f t="shared" ca="1" si="85"/>
        <v>0</v>
      </c>
      <c r="D491" s="335"/>
      <c r="E491" s="336">
        <f t="shared" ca="1" si="86"/>
        <v>0</v>
      </c>
      <c r="F491" s="336">
        <f t="shared" ca="1" si="87"/>
        <v>0</v>
      </c>
      <c r="G491" s="343">
        <f t="shared" ca="1" si="88"/>
        <v>0</v>
      </c>
      <c r="H491" s="336">
        <f t="shared" ca="1" si="89"/>
        <v>0</v>
      </c>
      <c r="I491" s="337">
        <f t="shared" ca="1" si="90"/>
        <v>0</v>
      </c>
    </row>
    <row r="492" spans="1:9">
      <c r="A492" s="335">
        <f t="shared" si="91"/>
        <v>475</v>
      </c>
      <c r="B492" s="340">
        <f t="shared" si="92"/>
        <v>60723</v>
      </c>
      <c r="C492" s="336">
        <f t="shared" ca="1" si="85"/>
        <v>0</v>
      </c>
      <c r="D492" s="335"/>
      <c r="E492" s="336">
        <f t="shared" ca="1" si="86"/>
        <v>0</v>
      </c>
      <c r="F492" s="336">
        <f t="shared" ca="1" si="87"/>
        <v>0</v>
      </c>
      <c r="G492" s="343">
        <f t="shared" ca="1" si="88"/>
        <v>0</v>
      </c>
      <c r="H492" s="336">
        <f t="shared" ca="1" si="89"/>
        <v>0</v>
      </c>
      <c r="I492" s="337">
        <f t="shared" ca="1" si="90"/>
        <v>0</v>
      </c>
    </row>
    <row r="493" spans="1:9">
      <c r="A493" s="335">
        <f t="shared" si="91"/>
        <v>476</v>
      </c>
      <c r="B493" s="340">
        <f t="shared" si="92"/>
        <v>60753</v>
      </c>
      <c r="C493" s="336">
        <f t="shared" ca="1" si="85"/>
        <v>0</v>
      </c>
      <c r="D493" s="335"/>
      <c r="E493" s="336">
        <f t="shared" ca="1" si="86"/>
        <v>0</v>
      </c>
      <c r="F493" s="336">
        <f t="shared" ca="1" si="87"/>
        <v>0</v>
      </c>
      <c r="G493" s="343">
        <f t="shared" ca="1" si="88"/>
        <v>0</v>
      </c>
      <c r="H493" s="336">
        <f t="shared" ca="1" si="89"/>
        <v>0</v>
      </c>
      <c r="I493" s="337">
        <f t="shared" ca="1" si="90"/>
        <v>0</v>
      </c>
    </row>
    <row r="494" spans="1:9">
      <c r="A494" s="335">
        <f t="shared" si="91"/>
        <v>477</v>
      </c>
      <c r="B494" s="340">
        <f t="shared" si="92"/>
        <v>60784</v>
      </c>
      <c r="C494" s="336">
        <f t="shared" ca="1" si="85"/>
        <v>0</v>
      </c>
      <c r="D494" s="335"/>
      <c r="E494" s="336">
        <f t="shared" ca="1" si="86"/>
        <v>0</v>
      </c>
      <c r="F494" s="336">
        <f t="shared" ca="1" si="87"/>
        <v>0</v>
      </c>
      <c r="G494" s="343">
        <f t="shared" ca="1" si="88"/>
        <v>0</v>
      </c>
      <c r="H494" s="336">
        <f t="shared" ca="1" si="89"/>
        <v>0</v>
      </c>
      <c r="I494" s="337">
        <f t="shared" ca="1" si="90"/>
        <v>0</v>
      </c>
    </row>
    <row r="495" spans="1:9">
      <c r="A495" s="335">
        <f t="shared" si="91"/>
        <v>478</v>
      </c>
      <c r="B495" s="340">
        <f t="shared" si="92"/>
        <v>60814</v>
      </c>
      <c r="C495" s="336">
        <f t="shared" ca="1" si="85"/>
        <v>0</v>
      </c>
      <c r="D495" s="335"/>
      <c r="E495" s="336">
        <f t="shared" ca="1" si="86"/>
        <v>0</v>
      </c>
      <c r="F495" s="336">
        <f t="shared" ca="1" si="87"/>
        <v>0</v>
      </c>
      <c r="G495" s="343">
        <f t="shared" ca="1" si="88"/>
        <v>0</v>
      </c>
      <c r="H495" s="336">
        <f t="shared" ca="1" si="89"/>
        <v>0</v>
      </c>
      <c r="I495" s="337">
        <f t="shared" ca="1" si="90"/>
        <v>0</v>
      </c>
    </row>
    <row r="496" spans="1:9">
      <c r="A496" s="335">
        <f t="shared" si="91"/>
        <v>479</v>
      </c>
      <c r="B496" s="340">
        <f t="shared" si="92"/>
        <v>60845</v>
      </c>
      <c r="C496" s="336">
        <f t="shared" ca="1" si="85"/>
        <v>0</v>
      </c>
      <c r="D496" s="335"/>
      <c r="E496" s="336">
        <f t="shared" ca="1" si="86"/>
        <v>0</v>
      </c>
      <c r="F496" s="336">
        <f t="shared" ca="1" si="87"/>
        <v>0</v>
      </c>
      <c r="G496" s="343">
        <f t="shared" ca="1" si="88"/>
        <v>0</v>
      </c>
      <c r="H496" s="336">
        <f t="shared" ca="1" si="89"/>
        <v>0</v>
      </c>
      <c r="I496" s="337">
        <f t="shared" ca="1" si="90"/>
        <v>0</v>
      </c>
    </row>
    <row r="497" spans="1:9">
      <c r="A497" s="335">
        <f t="shared" si="91"/>
        <v>480</v>
      </c>
      <c r="B497" s="340">
        <f t="shared" si="92"/>
        <v>60876</v>
      </c>
      <c r="C497" s="336">
        <f t="shared" ca="1" si="85"/>
        <v>0</v>
      </c>
      <c r="D497" s="336">
        <f ca="1">IF(H321&lt;0,0,(K57-L57)/11)</f>
        <v>0</v>
      </c>
      <c r="E497" s="336">
        <f t="shared" ca="1" si="86"/>
        <v>0</v>
      </c>
      <c r="F497" s="336">
        <f t="shared" ca="1" si="87"/>
        <v>0</v>
      </c>
      <c r="G497" s="343">
        <f t="shared" ca="1" si="88"/>
        <v>0</v>
      </c>
      <c r="H497" s="336">
        <f t="shared" ca="1" si="89"/>
        <v>0</v>
      </c>
      <c r="I497" s="337">
        <f t="shared" ca="1" si="90"/>
        <v>0</v>
      </c>
    </row>
  </sheetData>
  <mergeCells count="11">
    <mergeCell ref="A10:C10"/>
    <mergeCell ref="A1:H1"/>
    <mergeCell ref="A4:C4"/>
    <mergeCell ref="A5:C5"/>
    <mergeCell ref="A6:C6"/>
    <mergeCell ref="A7:C7"/>
    <mergeCell ref="A11:C11"/>
    <mergeCell ref="A12:C12"/>
    <mergeCell ref="A13:C13"/>
    <mergeCell ref="A14:C14"/>
    <mergeCell ref="A15:C15"/>
  </mergeCells>
  <pageMargins left="0.75" right="0.5" top="0.5" bottom="0.5" header="0.5" footer="0.5"/>
  <pageSetup orientation="portrait" horizontalDpi="4294967292" verticalDpi="429496729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
  <sheetViews>
    <sheetView workbookViewId="0">
      <selection activeCell="L14" sqref="A14:XFD14"/>
    </sheetView>
  </sheetViews>
  <sheetFormatPr baseColWidth="10" defaultColWidth="11" defaultRowHeight="16"/>
  <sheetData/>
  <sheetProtection algorithmName="SHA-512" hashValue="4pJzNgZngLwuQThOWvttZ4iaS7Zlldz3u5Sgyt13GPZRGgd/HeaZtS4mUcgm2VqQbeWbvHSdjIBGPQFpwirQ4A==" saltValue="mv1BY0PqIVZIVx+R5FCz/g==" spinCount="100000" sheet="1" objects="1" scenarios="1"/>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
  <sheetViews>
    <sheetView workbookViewId="0">
      <selection activeCell="L14" sqref="A14:XFD14"/>
    </sheetView>
  </sheetViews>
  <sheetFormatPr baseColWidth="10" defaultColWidth="11" defaultRowHeight="16"/>
  <sheetData/>
  <sheetProtection algorithmName="SHA-512" hashValue="qQPy8XygndkaYIAFiXrU//gcQWpQ+d12C36KPHhiF4EjLYPcirT4t9uOWtGxyDROlqGgtXGcAVcVQYvmC5Pbdw==" saltValue="uqNvjac7h+szMHpDlA6Eeg==" spinCount="100000" sheet="1" objects="1" scenarios="1"/>
  <pageMargins left="0.75" right="0.75" top="1" bottom="1" header="0.5" footer="0.5"/>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
  <sheetViews>
    <sheetView workbookViewId="0">
      <selection activeCell="L14" sqref="A14:XFD14"/>
    </sheetView>
  </sheetViews>
  <sheetFormatPr baseColWidth="10" defaultColWidth="11" defaultRowHeight="16"/>
  <sheetData/>
  <sheetProtection algorithmName="SHA-512" hashValue="A/JIwlURFe3Krg2/nKOJIw3eVWK5erDWDt2uRBBiLYW6L4R8mirh3+P/ftEkVpyau/pjx7ZZwrBcviSmrXEkIA==" saltValue="P+rsV+cPoD3C6iI6YKceYA==" spinCount="100000" sheet="1" objects="1" scenarios="1"/>
  <pageMargins left="0.75" right="0.75" top="1" bottom="1" header="0.5" footer="0.5"/>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
  <sheetViews>
    <sheetView workbookViewId="0">
      <selection activeCell="L14" sqref="A14:XFD14"/>
    </sheetView>
  </sheetViews>
  <sheetFormatPr baseColWidth="10" defaultColWidth="11" defaultRowHeight="16"/>
  <sheetData/>
  <sheetProtection algorithmName="SHA-512" hashValue="NJyE4DMKRoD8cW1My4/RjWGs5qG+L8QfOLWRFUMbgyHkZ5zWfwnILcxPOCScKi/TyjLDLHqIUqixmCIXYBgMUg==" saltValue="OqdlQpRtesXSYAw/p52vTA==" spinCount="100000" sheet="1" objects="1" scenario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
  <sheetViews>
    <sheetView workbookViewId="0">
      <selection activeCell="L14" sqref="A14:XFD14"/>
    </sheetView>
  </sheetViews>
  <sheetFormatPr baseColWidth="10" defaultColWidth="11" defaultRowHeight="16"/>
  <sheetData/>
  <sheetProtection algorithmName="SHA-512" hashValue="qqVT15ojzIycYJaaEW5K0gsBjUqvpKR1YnCMv9U3GRNgrPlN01vI5imHmL7dqdZMWjQ7lpGme3FSeiwkLTKHiA==" saltValue="FZWb6CW2AARYlAz+HApQLQ==" spinCount="100000" sheet="1" objects="1" scenario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Template Guide</vt:lpstr>
      <vt:lpstr>Summary Schedule</vt:lpstr>
      <vt:lpstr>Annual Escalation Rates</vt:lpstr>
      <vt:lpstr>Sch1-Ann Cost Sav &amp; Pymts</vt:lpstr>
      <vt:lpstr>Sch1u-Ann Cost Sav &amp; Pymts</vt:lpstr>
      <vt:lpstr>Sch1ee-Ann Cost Sav &amp; Pymts</vt:lpstr>
      <vt:lpstr>Sch1esa-ESA Pymts</vt:lpstr>
      <vt:lpstr>Sch2a-Imp Price by ECM</vt:lpstr>
      <vt:lpstr>Sch2b-Project Imp Pricing</vt:lpstr>
      <vt:lpstr>Sch3-Perf Period Cash Flow</vt:lpstr>
      <vt:lpstr>Amortization-HIDDEN</vt:lpstr>
      <vt:lpstr>Sch4-Cost Savings by ECM</vt:lpstr>
      <vt:lpstr>Sch4g-GHG</vt:lpstr>
      <vt:lpstr>Sch5-Cancellation Ceilings</vt:lpstr>
      <vt:lpstr>Sheet1</vt:lpstr>
      <vt:lpstr>Sheet2</vt:lpstr>
      <vt:lpstr>Sheet3</vt:lpstr>
      <vt:lpstr>GHG Emissions</vt:lpstr>
      <vt:lpstr>eGRID subregion name</vt:lpstr>
      <vt:lpstr>Itemized Costs-HIDDEN</vt:lpstr>
      <vt:lpstr>ECM</vt:lpstr>
      <vt:lpstr>Amortization-HIDDEN-Q</vt:lpstr>
      <vt:lpstr>Amortization-HIDDEN-B</vt:lpstr>
      <vt:lpstr>Amortization-HIDDEN-M</vt:lpstr>
      <vt:lpstr>Scratch Sheet-1</vt:lpstr>
      <vt:lpstr>Scratch Sheet-2</vt:lpstr>
      <vt:lpstr>Scratch Sheet-3</vt:lpstr>
      <vt:lpstr>Scratch Sheet-4</vt:lpstr>
      <vt:lpstr>Scratch Sheet-5</vt:lpstr>
      <vt:lpstr>ECM</vt:lpstr>
      <vt:lpstr>MnV</vt:lpstr>
      <vt:lpstr>PA</vt:lpstr>
    </vt:vector>
  </TitlesOfParts>
  <Manager/>
  <Company>LBNL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Shankar Earni</dc:creator>
  <cp:keywords/>
  <dc:description>4.1.5.c</dc:description>
  <cp:lastModifiedBy>Shonder, John A.</cp:lastModifiedBy>
  <cp:lastPrinted>2016-04-07T17:50:34Z</cp:lastPrinted>
  <dcterms:created xsi:type="dcterms:W3CDTF">2013-07-10T19:01:35Z</dcterms:created>
  <dcterms:modified xsi:type="dcterms:W3CDTF">2024-07-23T19:29:32Z</dcterms:modified>
  <cp:category>4.1.5.c, 04/23/2024</cp:category>
</cp:coreProperties>
</file>