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rhammond/NREL/OSW Market Report - General/OWMR - 2022 Edition/Reporting/"/>
    </mc:Choice>
  </mc:AlternateContent>
  <xr:revisionPtr revIDLastSave="0" documentId="13_ncr:1_{69395849-9C11-3B4B-AF4B-BEB1EAB1B022}" xr6:coauthVersionLast="47" xr6:coauthVersionMax="47" xr10:uidLastSave="{00000000-0000-0000-0000-000000000000}"/>
  <bookViews>
    <workbookView xWindow="8680" yWindow="6500" windowWidth="33600" windowHeight="20540" tabRatio="969" activeTab="1" xr2:uid="{00000000-000D-0000-FFFF-FFFF00000000}"/>
  </bookViews>
  <sheets>
    <sheet name="Sheet Names" sheetId="52" state="hidden" r:id="rId1"/>
    <sheet name="Table of Contents" sheetId="20" r:id="rId2"/>
    <sheet name="T1, Pipeline Definition" sheetId="28" r:id="rId3"/>
    <sheet name="T2, US Pipeline Definition" sheetId="29" r:id="rId4"/>
    <sheet name="F1-2, US State Pipeline" sheetId="17" r:id="rId5"/>
    <sheet name="T3, US Pipeline, Part 1" sheetId="19" r:id="rId6"/>
    <sheet name="T4, US Pipeline, Part 2" sheetId="30" r:id="rId7"/>
    <sheet name="T5, US Pipeline, Part 3" sheetId="31" r:id="rId8"/>
    <sheet name="F6, US Forecasts" sheetId="13" r:id="rId9"/>
    <sheet name="T6, US Permitting Status" sheetId="32" r:id="rId10"/>
    <sheet name="T7, NY Bight Lease Auctions" sheetId="33" r:id="rId11"/>
    <sheet name="T8, CA Long Bay Lease Auctions" sheetId="34" r:id="rId12"/>
    <sheet name="F10, US Lease Prices" sheetId="35" r:id="rId13"/>
    <sheet name="T9, US Lease Prices" sheetId="36" r:id="rId14"/>
    <sheet name="T10, US Call Areas" sheetId="37" r:id="rId15"/>
    <sheet name="T11, US Offtake Agreements" sheetId="38" r:id="rId16"/>
    <sheet name="T12, US Procurement Policies" sheetId="39" r:id="rId17"/>
    <sheet name="T13, US Flagged Vessels" sheetId="40" r:id="rId18"/>
    <sheet name="T14, Foreign Flagged Vessels" sheetId="41" r:id="rId19"/>
    <sheet name="T15, Port Infrastructure" sheetId="42" r:id="rId20"/>
    <sheet name="T16, Supply Chain Announcements" sheetId="43" r:id="rId21"/>
    <sheet name="F17-18, Global Annual Additions" sheetId="3" r:id="rId22"/>
    <sheet name="F18,20, Installed and Const." sheetId="4" r:id="rId23"/>
    <sheet name="F19,23, Global Cumulative" sheetId="2" r:id="rId24"/>
    <sheet name="F22, Developer Announced" sheetId="7" r:id="rId25"/>
    <sheet name="F24, Global Floating Cumulative" sheetId="44" r:id="rId26"/>
    <sheet name="F25, Global Regional" sheetId="5" r:id="rId27"/>
    <sheet name="F26, Global Floating Regional" sheetId="45" r:id="rId28"/>
    <sheet name="T17, Global Floating Pipeline" sheetId="46" r:id="rId29"/>
    <sheet name="F27, Global Forecasts" sheetId="12" r:id="rId30"/>
    <sheet name="F28, Floating Projections" sheetId="47" r:id="rId31"/>
    <sheet name="T18, Europe Activities Targets" sheetId="48" r:id="rId32"/>
    <sheet name="T19, Asian Activities Targets" sheetId="49" r:id="rId33"/>
    <sheet name="F30-31, Depth and Dist to Shore" sheetId="14" r:id="rId34"/>
    <sheet name="F32-34, Sub. Market Share" sheetId="15" r:id="rId35"/>
    <sheet name="F35-36, Global Turbine Trends" sheetId="1" r:id="rId36"/>
    <sheet name="F37-38, OEM Market Share" sheetId="16" r:id="rId37"/>
    <sheet name="F39, Fixed LCOE Projections" sheetId="9" r:id="rId38"/>
    <sheet name="T21, Dominion Costs" sheetId="50" r:id="rId39"/>
    <sheet name="F40 Project CapEx" sheetId="25" r:id="rId40"/>
    <sheet name="F41, Relative Lease Costs" sheetId="51" r:id="rId41"/>
    <sheet name="F42, OpEx Projections" sheetId="11" r:id="rId42"/>
    <sheet name="F43, Global Strike Prices" sheetId="6" r:id="rId43"/>
    <sheet name="F44, Floating LCOE" sheetId="10" r:id="rId4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6" i="20" l="1"/>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2" i="20"/>
  <c r="A11" i="20"/>
  <c r="A13" i="20"/>
  <c r="A10" i="20"/>
  <c r="A9" i="20"/>
  <c r="A8" i="20"/>
  <c r="A7" i="20"/>
  <c r="A6" i="20"/>
  <c r="A5" i="20"/>
  <c r="C40" i="12"/>
  <c r="D40" i="12"/>
  <c r="E40" i="12"/>
  <c r="F40" i="12"/>
  <c r="G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D20" i="12"/>
  <c r="E20" i="12"/>
  <c r="F20" i="12"/>
  <c r="G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C20" i="12"/>
  <c r="B3" i="52" a="1"/>
  <c r="B4" i="52" a="1"/>
  <c r="B5" i="52" a="1"/>
  <c r="B16" i="52" a="1"/>
  <c r="B37" i="52" a="1"/>
  <c r="B17" i="52" a="1"/>
  <c r="B27" i="52" a="1"/>
  <c r="B38" i="52" a="1"/>
  <c r="B18" i="52" a="1"/>
  <c r="B28" i="52" a="1"/>
  <c r="B39" i="52" a="1"/>
  <c r="B19" i="52" a="1"/>
  <c r="B29" i="52" a="1"/>
  <c r="B40" i="52" a="1"/>
  <c r="B30" i="52" a="1"/>
  <c r="B41" i="52" a="1"/>
  <c r="B31" i="52" a="1"/>
  <c r="B42" i="52" a="1"/>
  <c r="B21" i="52" a="1"/>
  <c r="B32" i="52" a="1"/>
  <c r="B43" i="52" a="1"/>
  <c r="B2" i="52" a="1"/>
  <c r="B22" i="52" a="1"/>
  <c r="B44" i="52" a="1"/>
  <c r="B1" i="52" a="1"/>
  <c r="B23" i="52" a="1"/>
  <c r="B33" i="52" a="1"/>
  <c r="B24" i="52" a="1"/>
  <c r="B6" i="52" a="1"/>
  <c r="B7" i="52" a="1"/>
  <c r="B8" i="52" a="1"/>
  <c r="B20" i="52" a="1"/>
  <c r="B34" i="52" a="1"/>
  <c r="B14" i="52" a="1"/>
  <c r="B25" i="52" a="1"/>
  <c r="B35" i="52" a="1"/>
  <c r="B15" i="52" a="1"/>
  <c r="B26" i="52" a="1"/>
  <c r="B36" i="52" a="1"/>
  <c r="B9" i="52" a="1"/>
  <c r="B10" i="52" a="1"/>
  <c r="B11" i="52" a="1"/>
  <c r="B12" i="52" a="1"/>
  <c r="B13" i="52" a="1"/>
  <c r="B13" i="52" l="1"/>
  <c r="C13" i="52" s="1"/>
  <c r="B12" i="52"/>
  <c r="C12" i="52" s="1"/>
  <c r="B11" i="52"/>
  <c r="C11" i="52" s="1"/>
  <c r="B10" i="52"/>
  <c r="C10" i="52" s="1"/>
  <c r="B9" i="52"/>
  <c r="C9" i="52" s="1"/>
  <c r="B36" i="52"/>
  <c r="C36" i="52" s="1"/>
  <c r="B26" i="52"/>
  <c r="C26" i="52" s="1"/>
  <c r="B15" i="52"/>
  <c r="C15" i="52" s="1"/>
  <c r="B35" i="52"/>
  <c r="C35" i="52" s="1"/>
  <c r="B25" i="52"/>
  <c r="C25" i="52" s="1"/>
  <c r="B14" i="52"/>
  <c r="C14" i="52" s="1"/>
  <c r="B34" i="52"/>
  <c r="C34" i="52" s="1"/>
  <c r="B20" i="52"/>
  <c r="C20" i="52" s="1"/>
  <c r="B8" i="52"/>
  <c r="C8" i="52" s="1"/>
  <c r="B7" i="52"/>
  <c r="C7" i="52" s="1"/>
  <c r="B6" i="52"/>
  <c r="C6" i="52" s="1"/>
  <c r="B24" i="52"/>
  <c r="C24" i="52" s="1"/>
  <c r="B33" i="52"/>
  <c r="C33" i="52" s="1"/>
  <c r="B23" i="52"/>
  <c r="C23" i="52" s="1"/>
  <c r="B44" i="52"/>
  <c r="C44" i="52" s="1"/>
  <c r="B22" i="52"/>
  <c r="C22" i="52" s="1"/>
  <c r="B43" i="52"/>
  <c r="C43" i="52" s="1"/>
  <c r="B32" i="52"/>
  <c r="C32" i="52" s="1"/>
  <c r="B21" i="52"/>
  <c r="C21" i="52" s="1"/>
  <c r="B42" i="52"/>
  <c r="C42" i="52" s="1"/>
  <c r="B31" i="52"/>
  <c r="C31" i="52" s="1"/>
  <c r="B41" i="52"/>
  <c r="C41" i="52" s="1"/>
  <c r="B30" i="52"/>
  <c r="C30" i="52" s="1"/>
  <c r="B40" i="52"/>
  <c r="C40" i="52" s="1"/>
  <c r="B29" i="52"/>
  <c r="C29" i="52" s="1"/>
  <c r="B19" i="52"/>
  <c r="C19" i="52" s="1"/>
  <c r="B39" i="52"/>
  <c r="C39" i="52" s="1"/>
  <c r="B28" i="52"/>
  <c r="C28" i="52" s="1"/>
  <c r="B18" i="52"/>
  <c r="C18" i="52" s="1"/>
  <c r="B38" i="52"/>
  <c r="C38" i="52" s="1"/>
  <c r="B27" i="52"/>
  <c r="C27" i="52" s="1"/>
  <c r="B17" i="52"/>
  <c r="C17" i="52" s="1"/>
  <c r="B37" i="52"/>
  <c r="C37" i="52" s="1"/>
  <c r="B16" i="52"/>
  <c r="C16" i="52" s="1"/>
  <c r="B5" i="52"/>
  <c r="C5" i="52" s="1"/>
  <c r="B4" i="52"/>
  <c r="C4" i="52" s="1"/>
  <c r="B3" i="52"/>
  <c r="C3" i="52" s="1"/>
  <c r="B2" i="52"/>
  <c r="B1" i="5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<sst xmlns="http://schemas.openxmlformats.org/spreadsheetml/2006/main" count="1812" uniqueCount="843">
  <si>
    <t>Turbine Capacity (MW)</t>
  </si>
  <si>
    <t>Rotor Diameter (m)</t>
  </si>
  <si>
    <t>Hub Height (m)</t>
  </si>
  <si>
    <t>Commercial Operation Date</t>
  </si>
  <si>
    <t>Belgium</t>
  </si>
  <si>
    <t>China</t>
  </si>
  <si>
    <t>Denmark</t>
  </si>
  <si>
    <t>Germany</t>
  </si>
  <si>
    <t>Netherlands</t>
  </si>
  <si>
    <t>Other Asia</t>
  </si>
  <si>
    <t>Other Europe</t>
  </si>
  <si>
    <t>United Kingdom</t>
  </si>
  <si>
    <t>United States</t>
  </si>
  <si>
    <t>Italy</t>
  </si>
  <si>
    <t>Portugal</t>
  </si>
  <si>
    <t>Vietnam</t>
  </si>
  <si>
    <t>Under Construction</t>
  </si>
  <si>
    <t>Other</t>
  </si>
  <si>
    <t>Country</t>
  </si>
  <si>
    <t>Asia</t>
  </si>
  <si>
    <t>Europe</t>
  </si>
  <si>
    <t>Installed</t>
  </si>
  <si>
    <t>Financial Close</t>
  </si>
  <si>
    <t>Approved</t>
  </si>
  <si>
    <t>Permitting</t>
  </si>
  <si>
    <t>Site Control</t>
  </si>
  <si>
    <t>Planning</t>
  </si>
  <si>
    <t>Total Pipeline</t>
  </si>
  <si>
    <t>Pipeline Classification</t>
  </si>
  <si>
    <t>Project name</t>
  </si>
  <si>
    <t>Walney Extension</t>
  </si>
  <si>
    <t>Beatrice</t>
  </si>
  <si>
    <t>Hornsea ONE</t>
  </si>
  <si>
    <t xml:space="preserve">East Anglia ONE </t>
  </si>
  <si>
    <t xml:space="preserve">Neart na Gaoithe </t>
  </si>
  <si>
    <t>Triton Knoll</t>
  </si>
  <si>
    <t>Hornsea 2</t>
  </si>
  <si>
    <t xml:space="preserve">Moray East </t>
  </si>
  <si>
    <t>Vineyard Wind 1</t>
  </si>
  <si>
    <t>Vineyard Wind 2</t>
  </si>
  <si>
    <t>Source</t>
  </si>
  <si>
    <t>Ireland</t>
  </si>
  <si>
    <t>Sweden</t>
  </si>
  <si>
    <t>Norway</t>
  </si>
  <si>
    <t>Spain</t>
  </si>
  <si>
    <t>France</t>
  </si>
  <si>
    <t>South Korea</t>
  </si>
  <si>
    <t>Japan</t>
  </si>
  <si>
    <t>Taiwan</t>
  </si>
  <si>
    <t>4C Offshore</t>
  </si>
  <si>
    <t>BNEF</t>
  </si>
  <si>
    <t>Maine</t>
  </si>
  <si>
    <t>Massachusetts</t>
  </si>
  <si>
    <t>Rhode Island</t>
  </si>
  <si>
    <t>New York</t>
  </si>
  <si>
    <t>New Jersey</t>
  </si>
  <si>
    <t>Delaware</t>
  </si>
  <si>
    <t>Maryland</t>
  </si>
  <si>
    <t>Virginia</t>
  </si>
  <si>
    <t>Ohio</t>
  </si>
  <si>
    <t>California</t>
  </si>
  <si>
    <t>State</t>
  </si>
  <si>
    <t>Connecticut</t>
  </si>
  <si>
    <t>High-Rise Pile Cap</t>
  </si>
  <si>
    <t>Jacket</t>
  </si>
  <si>
    <t>Monopile</t>
  </si>
  <si>
    <t>Spar</t>
  </si>
  <si>
    <t>Semisubmersible</t>
  </si>
  <si>
    <t>Tripod</t>
  </si>
  <si>
    <t>Type</t>
  </si>
  <si>
    <t>Bard</t>
  </si>
  <si>
    <t>Envision Energy</t>
  </si>
  <si>
    <t>GE Energy</t>
  </si>
  <si>
    <t>Goldwind</t>
  </si>
  <si>
    <t>Senvion</t>
  </si>
  <si>
    <t>Siemens Gamesa</t>
  </si>
  <si>
    <t>OEM</t>
  </si>
  <si>
    <t>MingYang</t>
  </si>
  <si>
    <t>Hawaii</t>
  </si>
  <si>
    <t>North Carolina</t>
  </si>
  <si>
    <t>Total</t>
  </si>
  <si>
    <t>Pre-2001</t>
  </si>
  <si>
    <t xml:space="preserve">The location of the project is defined by where the project’s power is intended to be sold. If the project does not have an offtake agreement, the location is the project’s physical location. This clarification is needed where projects are located in a certain location but sell their power to a neighboring state market.  </t>
  </si>
  <si>
    <t>High-rise pile caps are offshore wind foundations that use a group of piles to support a flat, stable pad. The wind turbine tower is then installed on top of the pad. These foundations are primarily found in the Chinese market and deployed in shallow waters.</t>
  </si>
  <si>
    <t>Status</t>
  </si>
  <si>
    <t>New England Aqua Ventus I</t>
  </si>
  <si>
    <t>Bay State Wind</t>
  </si>
  <si>
    <t>TBD</t>
  </si>
  <si>
    <t>Block Island Wind Farm</t>
  </si>
  <si>
    <t>Empire Wind</t>
  </si>
  <si>
    <t>Ocean Wind</t>
  </si>
  <si>
    <t>Skipjack</t>
  </si>
  <si>
    <t>Kitty Hawk</t>
  </si>
  <si>
    <t>Table of Contents</t>
  </si>
  <si>
    <t>Please note the North America region includes potential offshore wind projects in Canada.</t>
  </si>
  <si>
    <t>Does not include projects that are dormant, cancelled, decommissioned, or development zones.</t>
  </si>
  <si>
    <t>Mayflower Wind</t>
  </si>
  <si>
    <t>Revolution Wind</t>
  </si>
  <si>
    <t>Park City Wind</t>
  </si>
  <si>
    <t>Sunrise Wind</t>
  </si>
  <si>
    <t>Operating</t>
  </si>
  <si>
    <t>Other Americas</t>
  </si>
  <si>
    <t>Brazil</t>
  </si>
  <si>
    <t>Project Name</t>
  </si>
  <si>
    <t>Operational</t>
  </si>
  <si>
    <t>Barge</t>
  </si>
  <si>
    <t>Horns Rev 3</t>
  </si>
  <si>
    <t>Vesterhav Nord &amp; Syd</t>
  </si>
  <si>
    <t>Borssele 1 and 2</t>
  </si>
  <si>
    <t>Kriegers Flak</t>
  </si>
  <si>
    <t>Hollandse Kust Zuid III &amp; IV</t>
  </si>
  <si>
    <t>Borssele 3 &amp; 4</t>
  </si>
  <si>
    <t>Gode Wind 3</t>
  </si>
  <si>
    <t>Borkum Riffgrund West 2</t>
  </si>
  <si>
    <t>OWP West</t>
  </si>
  <si>
    <t>Borkum Riffgrund West 1</t>
  </si>
  <si>
    <t>Gode Wind 4</t>
  </si>
  <si>
    <t>He Dreiht</t>
  </si>
  <si>
    <t>U.S. Wind</t>
  </si>
  <si>
    <t>Doggerbank A</t>
  </si>
  <si>
    <t>Doggerbank B</t>
  </si>
  <si>
    <t xml:space="preserve"> </t>
  </si>
  <si>
    <t>Adwen</t>
  </si>
  <si>
    <t>Sinovel</t>
  </si>
  <si>
    <t>Hitachi Ltd</t>
  </si>
  <si>
    <t>Sewind</t>
  </si>
  <si>
    <t>Unreported</t>
  </si>
  <si>
    <t>2020</t>
  </si>
  <si>
    <t>2021</t>
  </si>
  <si>
    <t>2022</t>
  </si>
  <si>
    <t>2023</t>
  </si>
  <si>
    <t>2024</t>
  </si>
  <si>
    <t>2025</t>
  </si>
  <si>
    <t>2026</t>
  </si>
  <si>
    <t>2027</t>
  </si>
  <si>
    <t>2028</t>
  </si>
  <si>
    <t>2029</t>
  </si>
  <si>
    <t>2030</t>
  </si>
  <si>
    <t>2000</t>
  </si>
  <si>
    <t>2001</t>
  </si>
  <si>
    <t>2002</t>
  </si>
  <si>
    <t>2003</t>
  </si>
  <si>
    <t>2004</t>
  </si>
  <si>
    <t>2005</t>
  </si>
  <si>
    <t>2006</t>
  </si>
  <si>
    <t>2007</t>
  </si>
  <si>
    <t>2008</t>
  </si>
  <si>
    <t>2009</t>
  </si>
  <si>
    <t>2010</t>
  </si>
  <si>
    <t>2011</t>
  </si>
  <si>
    <t>2012</t>
  </si>
  <si>
    <t>2013</t>
  </si>
  <si>
    <t>2014</t>
  </si>
  <si>
    <t>2015</t>
  </si>
  <si>
    <t>2016</t>
  </si>
  <si>
    <t>2017</t>
  </si>
  <si>
    <t>2018</t>
  </si>
  <si>
    <t>2019</t>
  </si>
  <si>
    <t>Saudi Arabia</t>
  </si>
  <si>
    <t>Announced</t>
  </si>
  <si>
    <t>Gravity Base</t>
  </si>
  <si>
    <t>Tension-Leg Platform</t>
  </si>
  <si>
    <t>Floating</t>
  </si>
  <si>
    <t>Fixed</t>
  </si>
  <si>
    <t>-</t>
  </si>
  <si>
    <t>Category</t>
  </si>
  <si>
    <t>2031</t>
  </si>
  <si>
    <t>2032</t>
  </si>
  <si>
    <t>2033</t>
  </si>
  <si>
    <t>2034</t>
  </si>
  <si>
    <t>#</t>
  </si>
  <si>
    <t>Developer</t>
  </si>
  <si>
    <t>Lease Area</t>
  </si>
  <si>
    <t>Offtake Agreement</t>
  </si>
  <si>
    <t>Estimated Commercial Operation Date</t>
  </si>
  <si>
    <t>Installed (MW)</t>
  </si>
  <si>
    <t>Approved (MW)</t>
  </si>
  <si>
    <t>Permitting (MW)</t>
  </si>
  <si>
    <t>Site Control (MW)</t>
  </si>
  <si>
    <t>Planning (MW)</t>
  </si>
  <si>
    <t>State Lease</t>
  </si>
  <si>
    <t>Ørsted/Eversource</t>
  </si>
  <si>
    <t>OCS-A 0500</t>
  </si>
  <si>
    <t>OCS-A 0501</t>
  </si>
  <si>
    <t>PPA (CT)</t>
  </si>
  <si>
    <t>PPA (MA)</t>
  </si>
  <si>
    <t>Equinor/BP</t>
  </si>
  <si>
    <t>OCS-A 0520</t>
  </si>
  <si>
    <t>OREC (NY)</t>
  </si>
  <si>
    <t>OCS-A 0521</t>
  </si>
  <si>
    <t>Shell/Atkins/Ocergy</t>
  </si>
  <si>
    <t>OCS-A 0522</t>
  </si>
  <si>
    <t>OCS-A 0486</t>
  </si>
  <si>
    <t>OCS-A 0517</t>
  </si>
  <si>
    <t>PPA (NY)</t>
  </si>
  <si>
    <t>PPA (RI)</t>
  </si>
  <si>
    <t>N/A</t>
  </si>
  <si>
    <t>WEA</t>
  </si>
  <si>
    <t>OCS-A 0512</t>
  </si>
  <si>
    <t>OCS-A 0499</t>
  </si>
  <si>
    <t>OREC (NJ)</t>
  </si>
  <si>
    <t>OCS-A 0498</t>
  </si>
  <si>
    <t>OCS-A 0482</t>
  </si>
  <si>
    <t>Ørsted</t>
  </si>
  <si>
    <t>OCS-A 0519</t>
  </si>
  <si>
    <t>OREC (MD)</t>
  </si>
  <si>
    <t>OCS-A 0490</t>
  </si>
  <si>
    <t>Coastal Virginia Offshore Wind - Commercial</t>
  </si>
  <si>
    <t>Dominion Energy</t>
  </si>
  <si>
    <t>OCS-A 0483</t>
  </si>
  <si>
    <t>Utility Owned</t>
  </si>
  <si>
    <t>Avangrid</t>
  </si>
  <si>
    <t>OCS-A 0508</t>
  </si>
  <si>
    <t>Grand Strand Call Area</t>
  </si>
  <si>
    <t>Call Area</t>
  </si>
  <si>
    <t>Winyah Call Area</t>
  </si>
  <si>
    <t>Cape Romain Call Area</t>
  </si>
  <si>
    <t>Charleston Call Area</t>
  </si>
  <si>
    <t>PPA</t>
  </si>
  <si>
    <t>Diablo Canyon Call Area</t>
  </si>
  <si>
    <t>Oahu North Call Area</t>
  </si>
  <si>
    <t>Oahu South Call Area</t>
  </si>
  <si>
    <t>South Carolina</t>
  </si>
  <si>
    <t>Figures 10-11: Global Annual Offshore Wind Additions (MW)</t>
  </si>
  <si>
    <t>Oceana</t>
  </si>
  <si>
    <t>Australia</t>
  </si>
  <si>
    <t>Global Water Depth Max (m)</t>
  </si>
  <si>
    <t>Asian Water Depth Max (m)</t>
  </si>
  <si>
    <t>Global Distance From Shore Auto (km)</t>
  </si>
  <si>
    <t>Asian Distance From Shore Auto (km)</t>
  </si>
  <si>
    <t>Global Capacity MW (Max)</t>
  </si>
  <si>
    <t>Asian Capacity MW (Max)</t>
  </si>
  <si>
    <t>Global 5-Year Weighted Mean Distance to Shore</t>
  </si>
  <si>
    <t>Asian 5-Year Weighted Mean Distance to Shore</t>
  </si>
  <si>
    <t>Global 5-Year Weighted Mean Depth</t>
  </si>
  <si>
    <t>Asian 5-Year Weighted Mean Depth</t>
  </si>
  <si>
    <t>Global Capacity MW (Max)2</t>
  </si>
  <si>
    <t>Asian Capacity MW (Max)4</t>
  </si>
  <si>
    <t>Rock-Anchored Concrete Rings</t>
  </si>
  <si>
    <t>Vestas</t>
  </si>
  <si>
    <t>CSIC</t>
  </si>
  <si>
    <t>Doosan Heavy Industries</t>
  </si>
  <si>
    <t>DEC</t>
  </si>
  <si>
    <t>Unison</t>
  </si>
  <si>
    <t>2035</t>
  </si>
  <si>
    <t>Global Capacity-Weighted Mean CapEx</t>
  </si>
  <si>
    <t>Global 5-Year Rolling Capacity-Weighted Mean CapEx</t>
  </si>
  <si>
    <t>European and US Capacity-Weighted Mean CapEx</t>
  </si>
  <si>
    <t>European and US 5-Year Rolling Capacity-Weighted Mean CapEx</t>
  </si>
  <si>
    <t>Asian Capacity-Weighted Mean CapEx</t>
  </si>
  <si>
    <t>Asian 5-Year Rolling Capacity-Weighted Mean CapEx</t>
  </si>
  <si>
    <t xml:space="preserve">Dudgeon Extension </t>
  </si>
  <si>
    <t xml:space="preserve">Burbo Bank Extension </t>
  </si>
  <si>
    <t>Description</t>
  </si>
  <si>
    <t>The project is fully operational with all wind turbines generating power to the grid.</t>
  </si>
  <si>
    <t>42 MW</t>
  </si>
  <si>
    <t xml:space="preserve">All permitting processes completed. Wind turbines, substructures, and cables are in the process of being installed. Onshore upgrades are underway. </t>
  </si>
  <si>
    <t>932 MW</t>
  </si>
  <si>
    <t xml:space="preserve">All permitting processes completed. Begins when sponsor announces final investment decision and has signed contracts. </t>
  </si>
  <si>
    <t>0 MW</t>
  </si>
  <si>
    <t xml:space="preserve">BOEM and other federal agencies reviewed and approved a project’s COP. The project has received all necessary state and local permits as well as acquiring an interconnection agreement to inject power to the grid. </t>
  </si>
  <si>
    <t xml:space="preserve">The developer has site control of a lease area, has submitted a COP to BOEM, and BOEM has published a Notice of Intent to prepare an Environmental Impact Statement on the project’s COP. </t>
  </si>
  <si>
    <t>18, 581 MW</t>
  </si>
  <si>
    <t>The developer has acquired the right to develop a lease area and has begun surveying the lease area.</t>
  </si>
  <si>
    <t>15,996 MW</t>
  </si>
  <si>
    <t>Unleased Wind Energy Area</t>
  </si>
  <si>
    <t>4,532 MW</t>
  </si>
  <si>
    <t xml:space="preserve">The rights to a lease area have yet to be auctioned to offshore wind energy developers. Capacity is estimated using a 3 MW/km2 wind turbine density assumption. </t>
  </si>
  <si>
    <t>Table 1: Offshore Wind Project Pipeline Classification Criteria</t>
  </si>
  <si>
    <t>Step</t>
  </si>
  <si>
    <t>Phase Name</t>
  </si>
  <si>
    <t>Start Criteria</t>
  </si>
  <si>
    <t>Starts when a developer or regulatory agency initiates the formal site control process (e.g., designation of a W EA)</t>
  </si>
  <si>
    <t>Begins when a developer obtains site control (e.g., a lease or other contract)</t>
  </si>
  <si>
    <t>Starts when the developer files major permit applications (e.g., a COP or an offtake agreement for electricity production)</t>
  </si>
  <si>
    <t>Starts when a project receives regulatory approval for construction activities and offtake agreement certification</t>
  </si>
  <si>
    <t>Begins when sponsor announces a financial investment decision and has signed contracts for major construction work packages</t>
  </si>
  <si>
    <t>Starts when construction is initiated</t>
  </si>
  <si>
    <t>End Criteria</t>
  </si>
  <si>
    <t>Ends when a developer obtains control of a site (e.g., through competitive auction or a determination of no competitive interest in an unsolicited lease area (United States only)</t>
  </si>
  <si>
    <t xml:space="preserve">Ends when the developer files major permit applications (e.g., a Construction and Operations Plan [COP] for projects in the United States) </t>
  </si>
  <si>
    <t>Ends when regulatory entities authorize the project to proceed with construction and certify its offtake agreement</t>
  </si>
  <si>
    <t>Ends when sponsor announces a “financial investment decision” and has signed contracts for construction work packages</t>
  </si>
  <si>
    <t>Ends when the project begins major construction work</t>
  </si>
  <si>
    <t>Ends when all wind turbines have been installed and the project is connected and generating power to an electrical grid</t>
  </si>
  <si>
    <t>Starts when all wind turbines are installed and transmitting power to the grid; COD marks the official transition from construction to operation</t>
  </si>
  <si>
    <t>Ends when the project has begun a formal process to decommission and stops feeding power to the grid</t>
  </si>
  <si>
    <t>Decommissioned</t>
  </si>
  <si>
    <t>Starts when the project has begun the formal process to decommission and stops transmitting power to the grid</t>
  </si>
  <si>
    <t>Ends when the site has been fully restored and lease payments are no longer being made</t>
  </si>
  <si>
    <t>Permitting = Site Control + Offtake Pathway</t>
  </si>
  <si>
    <t>Table 2: U.S. Offshore Wind Energy Pipeline Categories</t>
  </si>
  <si>
    <t>Figures 1-2: US Pipeline by State and Status (MW)</t>
  </si>
  <si>
    <t>Location</t>
  </si>
  <si>
    <t>ME</t>
  </si>
  <si>
    <t>Power purchase agreement (PPA) (ME)</t>
  </si>
  <si>
    <t>MA/RI</t>
  </si>
  <si>
    <t>Ørsted and Eversource</t>
  </si>
  <si>
    <t>South Fork Wind Farm</t>
  </si>
  <si>
    <t>Sunrise Wind 1</t>
  </si>
  <si>
    <t>OCS-A 0487</t>
  </si>
  <si>
    <t>Sunrise Residual</t>
  </si>
  <si>
    <t>To be determined (TBD)</t>
  </si>
  <si>
    <t>MA</t>
  </si>
  <si>
    <t>Avangrid and CIP</t>
  </si>
  <si>
    <t>OCS-A 0534</t>
  </si>
  <si>
    <t>Commonwealth Wind</t>
  </si>
  <si>
    <t>Beacon Wind 1</t>
  </si>
  <si>
    <t>Equinor and BP</t>
  </si>
  <si>
    <t>Offshore renewable energy credit (OREC) (NY)</t>
  </si>
  <si>
    <t>Beacon Wind Residual</t>
  </si>
  <si>
    <t>Mayflower Wind 1</t>
  </si>
  <si>
    <t>Ocean Winds and Shell</t>
  </si>
  <si>
    <t>Mayflower Wind 2</t>
  </si>
  <si>
    <t>Mayflower Wind Residual</t>
  </si>
  <si>
    <t>Floating Demonstration</t>
  </si>
  <si>
    <t>CIP Massachusetts</t>
  </si>
  <si>
    <t>CIP</t>
  </si>
  <si>
    <t>RI</t>
  </si>
  <si>
    <t>NY</t>
  </si>
  <si>
    <t>Empire Wind 1</t>
  </si>
  <si>
    <t>Empire Wind 2</t>
  </si>
  <si>
    <t xml:space="preserve">Fairways North </t>
  </si>
  <si>
    <t>Dormant</t>
  </si>
  <si>
    <t>Fairways South</t>
  </si>
  <si>
    <t>NY/NJ</t>
  </si>
  <si>
    <t>Mid-Atlantic Offshore Wind</t>
  </si>
  <si>
    <t>OCS-A 0544</t>
  </si>
  <si>
    <t>OW Ocean Winds East</t>
  </si>
  <si>
    <t>EDPR and Engie</t>
  </si>
  <si>
    <t>OCS-A 0537</t>
  </si>
  <si>
    <t>Attentive Energy</t>
  </si>
  <si>
    <t>Total Energies</t>
  </si>
  <si>
    <t>OCS-A 0538</t>
  </si>
  <si>
    <t>Community Wind</t>
  </si>
  <si>
    <t>RWE and National Grid</t>
  </si>
  <si>
    <t>OCS-A 0539</t>
  </si>
  <si>
    <t>Atlantic Shores Offshore Wind Bight</t>
  </si>
  <si>
    <t>Shell and EDF</t>
  </si>
  <si>
    <t>OCS-A 0541</t>
  </si>
  <si>
    <t>Invenergy Wind Offshore</t>
  </si>
  <si>
    <t>Invenergy and Lighthouse Energy</t>
  </si>
  <si>
    <t>OCS-A 0542</t>
  </si>
  <si>
    <t>NJ</t>
  </si>
  <si>
    <t>Atlantic Shores Offshore Wind 1</t>
  </si>
  <si>
    <t>Atlantic Shores Offshore Wind Residual</t>
  </si>
  <si>
    <t>Ocean Wind 1</t>
  </si>
  <si>
    <t>Ørsted and PSEG</t>
  </si>
  <si>
    <t>Ocean Wind 2</t>
  </si>
  <si>
    <t>OCS-A 0532</t>
  </si>
  <si>
    <t>OH</t>
  </si>
  <si>
    <t>Icebreaker</t>
  </si>
  <si>
    <t>LEEDCo</t>
  </si>
  <si>
    <t>PPA (OH)</t>
  </si>
  <si>
    <t xml:space="preserve">Regional Subtotal </t>
  </si>
  <si>
    <t>Univ. of Maine/Diamond Offshore/ RWE</t>
  </si>
  <si>
    <t>PPA (RI)
PPA (CT)</t>
  </si>
  <si>
    <t>state Lease</t>
  </si>
  <si>
    <t>Table 3: U.S. Offshore Wind Energy Pipeline (North Atlantic and Great Lakes)</t>
  </si>
  <si>
    <t>Table 4: U.S. Offshore Wind Pipeline (South Atlantic and Gulf of Mexico)</t>
  </si>
  <si>
    <t>DE</t>
  </si>
  <si>
    <t>Garden State Offshore Energy 1</t>
  </si>
  <si>
    <t>Skipjack 1</t>
  </si>
  <si>
    <t>Skipjack 2</t>
  </si>
  <si>
    <t>OCS-A 0519 and OCS-A 0482</t>
  </si>
  <si>
    <t>MD</t>
  </si>
  <si>
    <t>MarWin</t>
  </si>
  <si>
    <t>Momentum Wind</t>
  </si>
  <si>
    <t>VA</t>
  </si>
  <si>
    <t>Coastal Virginia Offshore Wind – Pilot</t>
  </si>
  <si>
    <t>Coastal Virginia Offshore Wind – Commercial</t>
  </si>
  <si>
    <t>NC</t>
  </si>
  <si>
    <t>DE/MD/VA/NC</t>
  </si>
  <si>
    <t>Central Atlantic Call Areas</t>
  </si>
  <si>
    <t>Call Areas</t>
  </si>
  <si>
    <t>Wilmington West WEA </t>
  </si>
  <si>
    <t>Total Energies Renewables USA</t>
  </si>
  <si>
    <t>OCS-A 0545</t>
  </si>
  <si>
    <t>Duke Energy</t>
  </si>
  <si>
    <t>Duke Energy Renewables Wind</t>
  </si>
  <si>
    <t>OCS-A 0546</t>
  </si>
  <si>
    <t>SC</t>
  </si>
  <si>
    <t>Cape Romaine Call Area</t>
  </si>
  <si>
    <t>LA/TX/AL/MS</t>
  </si>
  <si>
    <t>Gulf of Mexico Call Area</t>
  </si>
  <si>
    <t xml:space="preserve">Table 5: U.S. Offshore Wind Pipeline (West Coast and Hawaii) </t>
  </si>
  <si>
    <t>CA</t>
  </si>
  <si>
    <t>dormant</t>
  </si>
  <si>
    <t>Morro Bay WEA</t>
  </si>
  <si>
    <t>Humboldt WEA</t>
  </si>
  <si>
    <t>OR</t>
  </si>
  <si>
    <t>Brookings Call Area</t>
  </si>
  <si>
    <t>Coos Bay Call Area</t>
  </si>
  <si>
    <t>HI</t>
  </si>
  <si>
    <t>Regional Subtotal</t>
  </si>
  <si>
    <t>Figure 6: Industry offshore wind U.S. deployment projections to 2031</t>
  </si>
  <si>
    <t>Table 6: U.S. Federal Offshore Permitting Status Summary As of May 31, 2022</t>
  </si>
  <si>
    <t>Geographic Location</t>
  </si>
  <si>
    <t>Lease Number</t>
  </si>
  <si>
    <t>Area (km2)</t>
  </si>
  <si>
    <t>Date Issued</t>
  </si>
  <si>
    <t>SAP Approved (COP Not Submitted)</t>
  </si>
  <si>
    <t>COP Submitted – Notice of Intent (NOI) for Environmental Impact Statement (EIS) </t>
  </si>
  <si>
    <t>Massachusetts/Rhode Island</t>
  </si>
  <si>
    <t>COP Submitted – NOI for EIS</t>
  </si>
  <si>
    <t>ROD Approved – Under Construction</t>
  </si>
  <si>
    <t>COP Submitted</t>
  </si>
  <si>
    <t>New York/ New Jersey</t>
  </si>
  <si>
    <t>Provisional Auction Winner</t>
  </si>
  <si>
    <t>Table 7: New York Bight Lease Area Auction Results</t>
  </si>
  <si>
    <t>Purchaser</t>
  </si>
  <si>
    <t>Capacity (MW)</t>
  </si>
  <si>
    <t>Price</t>
  </si>
  <si>
    <t>Mid-Atlantic Offshore Wind LLC</t>
  </si>
  <si>
    <t>OW Ocean Winds East LLC</t>
  </si>
  <si>
    <t>Attentive Energy LLC</t>
  </si>
  <si>
    <t>Bight Wind Holdings LLC</t>
  </si>
  <si>
    <t>Atlantic Shores Offshore Wind Bight LLC</t>
  </si>
  <si>
    <t>Invenergy Wind Offshore Wind LCC</t>
  </si>
  <si>
    <t>Invenergy and EnergyRE</t>
  </si>
  <si>
    <t>Table 8: Carolina Long Bay Lease Area Auction Results</t>
  </si>
  <si>
    <t>Total Energies Renewables USA LLC</t>
  </si>
  <si>
    <t xml:space="preserve">Duke Energies Renewable Wind LLC </t>
  </si>
  <si>
    <t>Figure 10: U.S. offshore wind lease price per square kilometer by year leased</t>
  </si>
  <si>
    <t xml:space="preserve">Lease </t>
  </si>
  <si>
    <t>Year</t>
  </si>
  <si>
    <t>$/km2</t>
  </si>
  <si>
    <t>Offtake Available</t>
  </si>
  <si>
    <t>OCS-A 0482/OCS-A 0519</t>
  </si>
  <si>
    <t>RI/MA</t>
  </si>
  <si>
    <t>OCS-A 0486/OCS-A 0517</t>
  </si>
  <si>
    <t>No</t>
  </si>
  <si>
    <t>OCS-A 0483/OCS-A 0497</t>
  </si>
  <si>
    <t>Yes</t>
  </si>
  <si>
    <t>OCS-A 0501/OCS-A 0534</t>
  </si>
  <si>
    <t>OCS-A 0498/OCA-A 0532</t>
  </si>
  <si>
    <t>Table 9: U.S. Offshore Wind Lease Prices (in Order Sold)</t>
  </si>
  <si>
    <t>Lease</t>
  </si>
  <si>
    <t>Lease Location</t>
  </si>
  <si>
    <t>Lease Price (2022$)</t>
  </si>
  <si>
    <t>Maryland  </t>
  </si>
  <si>
    <t>New York/New Jersey</t>
  </si>
  <si>
    <t>Table 10: Call Areas As of May 31, 2022</t>
  </si>
  <si>
    <t>Name</t>
  </si>
  <si>
    <t>Year Designated</t>
  </si>
  <si>
    <t>Area</t>
  </si>
  <si>
    <t>(acres)</t>
  </si>
  <si>
    <t>Likely Substructure Type</t>
  </si>
  <si>
    <t>Fixed-bottom</t>
  </si>
  <si>
    <t>O`ahu North Call Area</t>
  </si>
  <si>
    <t>O`ahu South Call Area</t>
  </si>
  <si>
    <t>Louisiana/Texas</t>
  </si>
  <si>
    <t>Mixed</t>
  </si>
  <si>
    <t>Delaware, Maryland, Virginia, North Carolina</t>
  </si>
  <si>
    <t>Oregon</t>
  </si>
  <si>
    <t>Table 11: U.S. Offshore Wind Offtake Agreements as of May 31, 2022</t>
  </si>
  <si>
    <t>Project</t>
  </si>
  <si>
    <t>Year Signed</t>
  </si>
  <si>
    <t>Size (MW)</t>
  </si>
  <si>
    <t>Duration (Years)</t>
  </si>
  <si>
    <t>Offtake Status</t>
  </si>
  <si>
    <t>Regulator Approved</t>
  </si>
  <si>
    <t>Levelized Nominal Price ($/MWh)</t>
  </si>
  <si>
    <t>Power Purchaser</t>
  </si>
  <si>
    <t>Block Island wind Farm</t>
  </si>
  <si>
    <t>National Grid</t>
  </si>
  <si>
    <t>Long Island Power Authority</t>
  </si>
  <si>
    <t>MD OREC</t>
  </si>
  <si>
    <t xml:space="preserve">Exelon </t>
  </si>
  <si>
    <t>Exelon</t>
  </si>
  <si>
    <t>National Grid, Eversource, Unitil</t>
  </si>
  <si>
    <t>Eversource, UIL</t>
  </si>
  <si>
    <t>NJ OREC</t>
  </si>
  <si>
    <t xml:space="preserve">PSEG, Rockland Electric Cooperative, Jersey City Power &amp; Light, Atlantic City Electric </t>
  </si>
  <si>
    <t>NY OREC</t>
  </si>
  <si>
    <t>New York Utilities</t>
  </si>
  <si>
    <t>Aqua Ventus I</t>
  </si>
  <si>
    <t>Undisclosed</t>
  </si>
  <si>
    <t>Central Maine Power</t>
  </si>
  <si>
    <t>Local Municipalities</t>
  </si>
  <si>
    <t>PSEG, Rockland Electric Cooperative, Jersey City Power &amp; Light, Atlantic City Electric</t>
  </si>
  <si>
    <t>Atlantic Shore Offshore Wind 1</t>
  </si>
  <si>
    <t xml:space="preserve">Momentum Wind </t>
  </si>
  <si>
    <t xml:space="preserve">Total </t>
  </si>
  <si>
    <t>Power Delivery Year</t>
  </si>
  <si>
    <t>Table 12: Current U.S. Offshore Wind Procurement Policies as of May 31, 2022</t>
  </si>
  <si>
    <t>Offshore Target (MW)</t>
  </si>
  <si>
    <t>Goal Year</t>
  </si>
  <si>
    <t>Amount Procured (MW)</t>
  </si>
  <si>
    <t>Authorities</t>
  </si>
  <si>
    <t>Year Implemented</t>
  </si>
  <si>
    <t>None</t>
  </si>
  <si>
    <t>Public Act No. 19-71</t>
  </si>
  <si>
    <t>Virginia Clean Economy Act</t>
  </si>
  <si>
    <t>Executive Order 218</t>
  </si>
  <si>
    <t>An Act to Promote Energy Diversity
An Act to Advance Clean Energy
An Act Creating a Next Generation Roadmap for Massachusetts Climate Policy</t>
  </si>
  <si>
    <t>Offshore Economic Development Act
Executive Order 8/AB 3723
Executive Order 92</t>
  </si>
  <si>
    <t>Maryland Offshore Wind Energy Act
Clean Energy Jobs Act</t>
  </si>
  <si>
    <t>Case 18E-0071
Climate Leadership &amp; Community Protection Act</t>
  </si>
  <si>
    <t xml:space="preserve">2016
2018
2021
</t>
  </si>
  <si>
    <t>2018
2019</t>
  </si>
  <si>
    <t>2013
2019</t>
  </si>
  <si>
    <t>Table 13: U.S.-Flagged Vessels to Serve Offshore Wind Industry</t>
  </si>
  <si>
    <t>Vessel Category (Vessel Name)</t>
  </si>
  <si>
    <t>Companies Backing</t>
  </si>
  <si>
    <t>Project Contracts</t>
  </si>
  <si>
    <t xml:space="preserve"> Commissioning</t>
  </si>
  <si>
    <t>Source(s)</t>
  </si>
  <si>
    <t>Wind Turbine Installation Vessel (Charybdis)</t>
  </si>
  <si>
    <t>Dominion Energy, GustoMSC, Keppel amFELS</t>
  </si>
  <si>
    <t>Coastal Virginia Offshore Wind, Revolution Wind and Sunrise Wind</t>
  </si>
  <si>
    <t>Expected 2023</t>
  </si>
  <si>
    <t>Dominion Energy 2021</t>
  </si>
  <si>
    <t>Service Operations Vessel (ECO EDISON)</t>
  </si>
  <si>
    <t>Edison Chouest Offshore, Ørsted, and Eversource</t>
  </si>
  <si>
    <t>Revolution Wind, South Fork Wind, Sunrise Wind</t>
  </si>
  <si>
    <t>Expected 2024</t>
  </si>
  <si>
    <t>Memija 2022</t>
  </si>
  <si>
    <t>Service Operations Vessel</t>
  </si>
  <si>
    <t>Crowley, ESVAGT</t>
  </si>
  <si>
    <t>(Empire Wind possible)</t>
  </si>
  <si>
    <t>Not Listed</t>
  </si>
  <si>
    <t>Haun 2022</t>
  </si>
  <si>
    <t>Service Operations Vessel (plug-in hybrid)</t>
  </si>
  <si>
    <t>Equinor, bp, Edison Chouest Offshore</t>
  </si>
  <si>
    <t>Mid-2020s</t>
  </si>
  <si>
    <t>Empire Wind 2022</t>
  </si>
  <si>
    <t>Crew Transfer Vessel x2 (Atlantic Pioneer, Atlantic Endeavor)</t>
  </si>
  <si>
    <t>Atlantic Wind Transfers, Blount Boats, Chartwell Marine</t>
  </si>
  <si>
    <t>Block Island Coastal Virginia Offshore Wind</t>
  </si>
  <si>
    <t>Vessels delivered in 2016 and 2021</t>
  </si>
  <si>
    <t>Atlantic Wind Transfers n.d.</t>
  </si>
  <si>
    <t>Crew Transfer Vessel x2 (WindServe Odessey, unnamed)</t>
  </si>
  <si>
    <t>WindServe Marine, Senesco</t>
  </si>
  <si>
    <t>Block Island, Coastal Virginia Offshore Wind, Revolution Wind</t>
  </si>
  <si>
    <t>1st vessel delivered 2020</t>
  </si>
  <si>
    <t>Ørsted 2019, Skopljak 2020</t>
  </si>
  <si>
    <t>Crew Transfer Vessel</t>
  </si>
  <si>
    <t>Gladding-Hearn Shipbuilding, Duclos Corporation</t>
  </si>
  <si>
    <t>Expected mid 2020s</t>
  </si>
  <si>
    <t>Mayflower Wind 2021</t>
  </si>
  <si>
    <t>Crew Transfer Vessel x4</t>
  </si>
  <si>
    <t>American Offshore Services (A-O-S), Blount Boats</t>
  </si>
  <si>
    <t>4 wind farms on US East Coast</t>
  </si>
  <si>
    <t>Durakovic 2021x</t>
  </si>
  <si>
    <t>Rock Installation (with option to contract a second vessel)</t>
  </si>
  <si>
    <t>Great Lakes Dredge &amp; Dock, Ulstein Design and Solutions B.V., Philly Shipyard, Inc.</t>
  </si>
  <si>
    <t>Expected 2024 (second vessel expected 2025, if awarded)</t>
  </si>
  <si>
    <t>Ulstein 2020, Durakovic 2021x</t>
  </si>
  <si>
    <t>Multi-Purpose Feeder (Eleanor)</t>
  </si>
  <si>
    <t>Moran Ironworks Shipyard, Green Shipping Line, Keystone Shipping Company, DEKC Maritime</t>
  </si>
  <si>
    <t>Expected mid 2023</t>
  </si>
  <si>
    <t>DEKC Maritime 2021</t>
  </si>
  <si>
    <t>Walk-to-Work (Paul Candies)</t>
  </si>
  <si>
    <t>Siemens Gamesa, U.S. Otto Candies, LLC</t>
  </si>
  <si>
    <t>South Fork, Revolution Wind</t>
  </si>
  <si>
    <t>Moore 2021</t>
  </si>
  <si>
    <t>(2) tugs and barges</t>
  </si>
  <si>
    <t>Maersk Supply Service, BP, Equinor, Kirby Offshore Wind</t>
  </si>
  <si>
    <t>Empire 1 and 2</t>
  </si>
  <si>
    <t>Maersk Supply Service 2022a</t>
  </si>
  <si>
    <t>Vessel/Operator</t>
  </si>
  <si>
    <t>Projects Served</t>
  </si>
  <si>
    <t>Sponsor</t>
  </si>
  <si>
    <t>Unspecified/DEME Offshore</t>
  </si>
  <si>
    <t>Vineyard 1 (turbine and foundation installation)</t>
  </si>
  <si>
    <t>Vineyard/FOSS Maritime</t>
  </si>
  <si>
    <t>Vineyard Wind 2021, OE Digital 2022</t>
  </si>
  <si>
    <t>Aeolus/Van Oord</t>
  </si>
  <si>
    <t>Unnamed U.S. East Coast project</t>
  </si>
  <si>
    <t>Unnamed</t>
  </si>
  <si>
    <t>Renews.biz 2022</t>
  </si>
  <si>
    <t>Newbuild WTIV/Maersk Supply Service</t>
  </si>
  <si>
    <t>Empire Offshore wind (Empire 1 &amp; 2)</t>
  </si>
  <si>
    <t>Leonardo da Vinci and Ulisse/Prysmian Group</t>
  </si>
  <si>
    <t>Park City, Commonwealth Wind</t>
  </si>
  <si>
    <t>Vineyard Wind</t>
  </si>
  <si>
    <t>Prysmian Group 2021</t>
  </si>
  <si>
    <t>Nexans Aurora/Nexans</t>
  </si>
  <si>
    <t>Revolution Wind Farm</t>
  </si>
  <si>
    <t>Nexans 2022</t>
  </si>
  <si>
    <t>Stril Explorer/MMT U.S. Inc.</t>
  </si>
  <si>
    <t>Equinor’s New England Lease Area</t>
  </si>
  <si>
    <t>Equinor</t>
  </si>
  <si>
    <t>MMT 2020</t>
  </si>
  <si>
    <t>Unspecified/ Heerema Marine Contractors</t>
  </si>
  <si>
    <t>Empire Wind and Beacon Wind</t>
  </si>
  <si>
    <t>Equinor/bp</t>
  </si>
  <si>
    <t>Heerema 2022</t>
  </si>
  <si>
    <t>Table 15: Port Infrastructure Investments to Support Offshore Wind Energy</t>
  </si>
  <si>
    <t>Details</t>
  </si>
  <si>
    <t>Amount ($)</t>
  </si>
  <si>
    <t>New London, CT</t>
  </si>
  <si>
    <t>Public-private investment to upgrade State Pier's infrastructure (deep water port) and heavy-lift capabilities. Construction is expected to begin in early 2021 and be completed by August 2022. Ørsted agrees to sign a 10-year lease at that facility</t>
  </si>
  <si>
    <t>Ørsted &amp; Eversource, CT Port Authority</t>
  </si>
  <si>
    <t>Ørsted n.d. x, Ørsted n.d. y</t>
  </si>
  <si>
    <t>Bridgeport, CT</t>
  </si>
  <si>
    <t>As part of the Park City Wind winning proposal, Vineyard Wind will make Bridgeport home to Park City Wind’s O&amp;M hub for the life of the project.</t>
  </si>
  <si>
    <t>up to 26.5</t>
  </si>
  <si>
    <t>Park City Wind 2019</t>
  </si>
  <si>
    <t>Redevelop 18.3-acre waterfront industrial property. Barnum Landing property to do critical foundation transition piece steel fabrication and final outfitting.</t>
  </si>
  <si>
    <t>Uunspecified</t>
  </si>
  <si>
    <t>Sparrows Point, MD</t>
  </si>
  <si>
    <t>Tradepoint Atlantic will create a 3,300-acre global logistics and staging center for laydown and assembly of components for Skipjack Wind offshore wind farm. Improvements will include strengthening ground bearing capacity.</t>
  </si>
  <si>
    <t>Ørsted 2019x</t>
  </si>
  <si>
    <t>New Bedford, MA</t>
  </si>
  <si>
    <t>Investment to develop the first offshore wind port in the U.S. (originally intended to support the failed Cape Wind project in 2014)</t>
  </si>
  <si>
    <t>State of Massachusetts</t>
  </si>
  <si>
    <t>WBUR 2014, WBUR 2015</t>
  </si>
  <si>
    <t xml:space="preserve">A $50,000 grant to the New Bedford Port Authority for purposes of developing publicly owned port facilities that can support offshore wind construction, O&amp;M and other activities. </t>
  </si>
  <si>
    <t>Vineyard Wind 2019x</t>
  </si>
  <si>
    <t xml:space="preserve">Cannon Street Power Station will be demolished, and the surrounding area cleared to develop a 30-acre site for offshore wind. </t>
  </si>
  <si>
    <t>Cannon Street Holdings</t>
  </si>
  <si>
    <t>unspecified</t>
  </si>
  <si>
    <t>Sennott 2021</t>
  </si>
  <si>
    <t>Vineyard Wind signed a $6 million annual lease to use the New Bedford Marine Commerce Terminal for 18 months (total $9M).</t>
  </si>
  <si>
    <t>Serreze 2018</t>
  </si>
  <si>
    <t>Northeast projects</t>
  </si>
  <si>
    <t>Adding base of operations and terminal logistics facility including storage and laydown yards, berth facilities for tug and barge operations, and host CTV and SOV support services</t>
  </si>
  <si>
    <t>Foss, Cannon Street Holdings, LLC</t>
  </si>
  <si>
    <t>Foss 2022</t>
  </si>
  <si>
    <t>Salem, MA</t>
  </si>
  <si>
    <t>Vineyard Wind and Crowley agreed to develop a deep-water offshore wind port for turbine assembly and staging activities</t>
  </si>
  <si>
    <t>Vineyard Wind, Crowley, City of Salem</t>
  </si>
  <si>
    <t>Crowley 2021</t>
  </si>
  <si>
    <t xml:space="preserve">Atlantic City, </t>
  </si>
  <si>
    <t>Ørsted plans to locate its construction logistics base, foundation and transition-piece staging port, and operations and maintenance port in New Jersey.</t>
  </si>
  <si>
    <t>Ørsted 2018x</t>
  </si>
  <si>
    <t>Brooklyn, NY</t>
  </si>
  <si>
    <t>Equinor will invest over $60 million in port upgrades throughout New York for part of its Empire Wind project. Empire Wind was proposing to invest $60 million in port upgrades statewide, including the Port of Coeymans, Homeport Pier on Staten Island, and South Brooklyn Marine Terminal.</t>
  </si>
  <si>
    <t>source   </t>
  </si>
  <si>
    <t>Upgrade South Brooklyn Marine Terminal as an offshore wind hub</t>
  </si>
  <si>
    <t>Equinor, BP</t>
  </si>
  <si>
    <t>200-250 </t>
  </si>
  <si>
    <t>Klinge 2022</t>
  </si>
  <si>
    <t>New York State</t>
  </si>
  <si>
    <t>Establishes a NY Ports Infrastructure Development Fund for ensuring port facilities can serve as staging areas.</t>
  </si>
  <si>
    <t>Ørsted, Eversource</t>
  </si>
  <si>
    <t>Port Jefferson, NY</t>
  </si>
  <si>
    <t>New O&amp;M Hub including dockage for a 250-foot service operation vessel, a warehouse and office facility.</t>
  </si>
  <si>
    <t>Providence, RI</t>
  </si>
  <si>
    <t>Port improvements for the Port of Providence, Quonset Business Park, and potentially additional ports in the state.</t>
  </si>
  <si>
    <t>Vineyard Wind has signed a lease at Barnum Landing to use as a construction and staging location. Downtown Bridgeport to serve as the Connecticut headquarters for the company’s offshore wind project.</t>
  </si>
  <si>
    <t>Vineyard Wind 2021x</t>
  </si>
  <si>
    <t>Total Announced 2021-2022</t>
  </si>
  <si>
    <t>($ million)</t>
  </si>
  <si>
    <t>200-250+</t>
  </si>
  <si>
    <t>Cumulative Total Announced</t>
  </si>
  <si>
    <t>630-680+</t>
  </si>
  <si>
    <t>Table 16: Major Supply Chain Announcements in the United States through May 31, 2022</t>
  </si>
  <si>
    <t>Component</t>
  </si>
  <si>
    <t>Investors</t>
  </si>
  <si>
    <t>Blades</t>
  </si>
  <si>
    <t xml:space="preserve">Announced </t>
  </si>
  <si>
    <t>Vestas, Atlantic Shores</t>
  </si>
  <si>
    <t>Not announced</t>
  </si>
  <si>
    <t>GE, Ørsted</t>
  </si>
  <si>
    <t>Towers</t>
  </si>
  <si>
    <t>Marmen Welcon, Equinor</t>
  </si>
  <si>
    <t>Monopiles</t>
  </si>
  <si>
    <t>Paulsboro Marine Terminal (New Jersey)</t>
  </si>
  <si>
    <t>EEW, Ørsted</t>
  </si>
  <si>
    <t>Under construction</t>
  </si>
  <si>
    <t>Array Cables</t>
  </si>
  <si>
    <t>Ørsted, Hellenic Cables</t>
  </si>
  <si>
    <t>Foundation platforms</t>
  </si>
  <si>
    <t>Eversource, Ørsted</t>
  </si>
  <si>
    <t>Secondary steel</t>
  </si>
  <si>
    <t>Transition pieces</t>
  </si>
  <si>
    <t>Marmen Welcon, Smulders</t>
  </si>
  <si>
    <t>Array and export cables</t>
  </si>
  <si>
    <t>Nexans</t>
  </si>
  <si>
    <t>Kerite, Marmon Group, Vineyard Wind</t>
  </si>
  <si>
    <t>Tradepoint Atlantic (Maryland)</t>
  </si>
  <si>
    <t>Prysmian, Avangrid</t>
  </si>
  <si>
    <t>Offshore substations</t>
  </si>
  <si>
    <t>Kiewit, Eversource, Ørsted</t>
  </si>
  <si>
    <t>Total announced investments made in 2021 – 2022 ($millions)</t>
  </si>
  <si>
    <t>Announced investment ($ Million)</t>
  </si>
  <si>
    <t>Portsmouth Marine Terminal (Virginia)</t>
  </si>
  <si>
    <t>Nacelles (final assembly only)</t>
  </si>
  <si>
    <t>New Jersey Wind Port (New Jersey)</t>
  </si>
  <si>
    <t>Sparrows Point (Maryland)</t>
  </si>
  <si>
    <t>Port of Providence (Rhode Island)</t>
  </si>
  <si>
    <t>Port of Coeymans (New York)</t>
  </si>
  <si>
    <t>Port of Albany (New York)</t>
  </si>
  <si>
    <t>Nexans high-voltage cable facility (South Carolina)</t>
  </si>
  <si>
    <t>Kerite (Connecticut)</t>
  </si>
  <si>
    <t>Brayton Point (Massachusetts)</t>
  </si>
  <si>
    <t>Ingleside (Texas)</t>
  </si>
  <si>
    <t>Figures 18, 20: Installed and Under Construction Capacity (MW)</t>
  </si>
  <si>
    <t>Operating (MW)</t>
  </si>
  <si>
    <t>Under Construction (MW)</t>
  </si>
  <si>
    <t>Financial Close (MW)</t>
  </si>
  <si>
    <t>Total (MW)</t>
  </si>
  <si>
    <t>Table 17: Global Floating Offshore Wind Energy Pipeline</t>
  </si>
  <si>
    <t>1995</t>
  </si>
  <si>
    <t>1996</t>
  </si>
  <si>
    <t>1997</t>
  </si>
  <si>
    <t>1998</t>
  </si>
  <si>
    <t>1999</t>
  </si>
  <si>
    <t>COD</t>
  </si>
  <si>
    <t>DNV 2021</t>
  </si>
  <si>
    <t>4C Offshore 2021c</t>
  </si>
  <si>
    <t>GWEC 2021</t>
  </si>
  <si>
    <t>BNEF 2021c</t>
  </si>
  <si>
    <t>4C Offshore 2021d</t>
  </si>
  <si>
    <t>Table 18: European Market Activities and National Targets</t>
  </si>
  <si>
    <t>National Offshore Wind Targets</t>
  </si>
  <si>
    <t>Key Developments</t>
  </si>
  <si>
    <t>5.8 GW by 2030</t>
  </si>
  <si>
    <t>Government of Belgium (2022)</t>
  </si>
  <si>
    <t>Denmark </t>
  </si>
  <si>
    <t>Thor Wind Farm I/S revenue payments to the state (as opposed to subsidies)</t>
  </si>
  <si>
    <t>Brooks (2022)</t>
  </si>
  <si>
    <t>Estonia </t>
  </si>
  <si>
    <t>40 GW by 2050 </t>
  </si>
  <si>
    <t>Narbonnaise and Gulf of Fos bidding timelines</t>
  </si>
  <si>
    <t>Government of France (2022)</t>
  </si>
  <si>
    <t>30 GW by 2030</t>
  </si>
  <si>
    <t>Fast-tracked energy transition to reduce reliance on Russian gas in reponse to the conflict between Russia and Ukraine. Draft Wind Energy at Sea Act (WindSeeG)</t>
  </si>
  <si>
    <t>Reuters (2022), renews.biz (2022)</t>
  </si>
  <si>
    <t>5 GW by 2030</t>
  </si>
  <si>
    <t>Maritime Area Planning Bill 2021</t>
  </si>
  <si>
    <t>Smyth (2022)</t>
  </si>
  <si>
    <t>The Netherlands</t>
  </si>
  <si>
    <t>21 GW by 2030</t>
  </si>
  <si>
    <t>Government of the Netherlands (2022), Durakovic (2022x)</t>
  </si>
  <si>
    <t>30 GW by 2040 </t>
  </si>
  <si>
    <t>First OSW auction planned in 2022</t>
  </si>
  <si>
    <t>WindEurope (2022)</t>
  </si>
  <si>
    <t>Poland </t>
  </si>
  <si>
    <t>5.9 GW by 2030</t>
  </si>
  <si>
    <t>11 GW by 2040</t>
  </si>
  <si>
    <t>These may go up to 20 GW</t>
  </si>
  <si>
    <t>3-4 GW by 2026 </t>
  </si>
  <si>
    <t>Planned 2022 auction for 3-4 GW of floating operational by 2026</t>
  </si>
  <si>
    <t>Evwind (2022)</t>
  </si>
  <si>
    <t>1-3GW of floating wind by 2030 </t>
  </si>
  <si>
    <t>40 GW fixed-bottom by 2030</t>
  </si>
  <si>
    <t xml:space="preserve">1 GW floating by 2030 </t>
  </si>
  <si>
    <t>Scotwind leasing of nearly about 15 GW of floating wind</t>
  </si>
  <si>
    <t>Crown Estate 2022</t>
  </si>
  <si>
    <t>4C Offshore (2022x), GWEC (2021)</t>
  </si>
  <si>
    <t>10 GW by 2030
35 GW by 2050</t>
  </si>
  <si>
    <t>Table 19: Asian Market Activities and National Targets</t>
  </si>
  <si>
    <t>National Target </t>
  </si>
  <si>
    <t>Over 150 GW in Provincial level goals</t>
  </si>
  <si>
    <t xml:space="preserve">Offshore wind subsidies scheduled to phase out by 2022 </t>
  </si>
  <si>
    <t>Barla (2021)</t>
  </si>
  <si>
    <t>10 GW by 2030, 30-45 GW by 2040, net-zero by 2050</t>
  </si>
  <si>
    <t>60 GW of renewable capacity by 2034, with 12 GW offshore wind by 2030</t>
  </si>
  <si>
    <t>Equinor (2022)</t>
  </si>
  <si>
    <t>15.5 GW by 2035</t>
  </si>
  <si>
    <t>Ferry (2021)</t>
  </si>
  <si>
    <t>1 GW by 2030</t>
  </si>
  <si>
    <t>Draft National Power Development Plan VIII would increase this to 4 GW by 2030</t>
  </si>
  <si>
    <t>Vietnam+ (2022)</t>
  </si>
  <si>
    <t>SGRE</t>
  </si>
  <si>
    <t>Areva Wind</t>
  </si>
  <si>
    <t>XEMC</t>
  </si>
  <si>
    <t>BNEF (2021) - US (high)</t>
  </si>
  <si>
    <t>BNEF (2021) - US (mid)</t>
  </si>
  <si>
    <t>BNEF (2021) - US (low)</t>
  </si>
  <si>
    <t>DNV (2021) - North America</t>
  </si>
  <si>
    <t>Wiser et al. (2021) - North America (mid)</t>
  </si>
  <si>
    <t>IEA (2021) - US (Stated Policies)</t>
  </si>
  <si>
    <t>Lazard (2021) - US (mid)</t>
  </si>
  <si>
    <t>NREL (2021) - US (mid)</t>
  </si>
  <si>
    <t>Table 21. Publicly Reported Costs for Dominion Offshore Wind Project</t>
  </si>
  <si>
    <t>CapEx</t>
  </si>
  <si>
    <t>Transmission</t>
  </si>
  <si>
    <t>$2021/kW</t>
  </si>
  <si>
    <t>Substation</t>
  </si>
  <si>
    <t>Contingency and hedging</t>
  </si>
  <si>
    <t>Balance of Plant</t>
  </si>
  <si>
    <t>Onshore facilities</t>
  </si>
  <si>
    <t>Offshore work</t>
  </si>
  <si>
    <t>O&amp;M costs</t>
  </si>
  <si>
    <t>$2021/kW-yr</t>
  </si>
  <si>
    <t>Gross Capacity Factor</t>
  </si>
  <si>
    <t>%</t>
  </si>
  <si>
    <t>Availability</t>
  </si>
  <si>
    <t>Lifetime</t>
  </si>
  <si>
    <t>Years</t>
  </si>
  <si>
    <t>Investment Tax Credit eligibility</t>
  </si>
  <si>
    <t xml:space="preserve">LCOE (incl. 30% ITC) </t>
  </si>
  <si>
    <t>$2021/MWh</t>
  </si>
  <si>
    <t>Return on Equity</t>
  </si>
  <si>
    <t>Project size</t>
  </si>
  <si>
    <t>MW</t>
  </si>
  <si>
    <t>Turbine rating</t>
  </si>
  <si>
    <t xml:space="preserve">Turbines </t>
  </si>
  <si>
    <t>Distance from shore</t>
  </si>
  <si>
    <t>km</t>
  </si>
  <si>
    <t>3,788</t>
  </si>
  <si>
    <t>Units</t>
  </si>
  <si>
    <t>Amount</t>
  </si>
  <si>
    <t>Average US CapEx</t>
  </si>
  <si>
    <t>NY/NJ Lease Sale Average (2022)</t>
  </si>
  <si>
    <t>MA Lease Sale Average (2018)</t>
  </si>
  <si>
    <t>Lease Costs</t>
  </si>
  <si>
    <t>Relative Share</t>
  </si>
  <si>
    <t>Lazard (2021)</t>
  </si>
  <si>
    <t>Wiser et al. (2021)</t>
  </si>
  <si>
    <t>Wood MacKenzie (2021)</t>
  </si>
  <si>
    <t>Adjusted Price (2021USD/MWh)</t>
  </si>
  <si>
    <t>North America</t>
  </si>
  <si>
    <t>Equinor (2021)</t>
  </si>
  <si>
    <t>USA</t>
  </si>
  <si>
    <t>NREL (2021) - Hawaii</t>
  </si>
  <si>
    <t>NREL (2021) - Oregon</t>
  </si>
  <si>
    <t>ORE Catapult (2021) - 16GW innovation</t>
  </si>
  <si>
    <t>16 GW Innovation</t>
  </si>
  <si>
    <t>Wiser et al. (2021) - North America Mid</t>
  </si>
  <si>
    <t>North America Mid</t>
  </si>
  <si>
    <t>2036</t>
  </si>
  <si>
    <t>2022 Offshore Wind Technologies Market Report</t>
  </si>
  <si>
    <t>Table 14: Foreign-Flagged Vessels with US contracts</t>
  </si>
  <si>
    <t>NREL OWDB</t>
  </si>
  <si>
    <t>Figures 19-23: Announced Cumulative Capacity (MW)</t>
  </si>
  <si>
    <t>Figure 22: Developer-Announced Offshore Wind Capacity Through 2027 for Projects with Financial Closure</t>
  </si>
  <si>
    <t>Figures 24: Cumulative Floating Offshore Wind Capacity by Country Based on Announced COD through 2027</t>
  </si>
  <si>
    <t>Figure 25: Total Global Pipeline by Regulatory Status and Region</t>
  </si>
  <si>
    <t>Figure 26: Total Global Floating Pipeline by Regulatory Status and Region</t>
  </si>
  <si>
    <t>Figure 27: Global Forecast (MW)</t>
  </si>
  <si>
    <t>Figure 28: Long-Term Cumulative Floating Offshore Wind Deployment Projections</t>
  </si>
  <si>
    <t>Figures 30-31: Global Fixed-Bottom Turbine Water Depth (m) and Distance from Shore (km) Trends</t>
  </si>
  <si>
    <t>Figures 32-34: Offshore Wind Substructure Technology Trend for 2021 and Future Disclosed Pipeline</t>
  </si>
  <si>
    <t>Figure 35-36: Global Offshore Wind Turbine Rating, Hub Height, and Diameter</t>
  </si>
  <si>
    <t>Figures 37-38: Offshore Manufacturers by Market Share for 2021 and Future Disclosed Pipeline</t>
  </si>
  <si>
    <t>Figure 39: Fixed LCOE Estimates (USD2021/MWh)</t>
  </si>
  <si>
    <t>Figure 40: Capital Expenditures for Global Offshore Wind Projects</t>
  </si>
  <si>
    <t>Figure 41: Relative Share of Lease Costs From Total CapEx of the Two Most Recent BOEM Lease Sales</t>
  </si>
  <si>
    <t>Figure 42: Operational Expenditures ($/kW)</t>
  </si>
  <si>
    <t>Figure 43: Adjusted Strike Prices From U.S. and European Offshore Wind Auctions</t>
  </si>
  <si>
    <t>Figure 44: Floating LCOE Estimates (USD2021/MWh)</t>
  </si>
  <si>
    <t>Global (excluding Asia) Water Depth Max (m)</t>
  </si>
  <si>
    <t>Global (excluding Asia) Distance From Shore Auto (km)</t>
  </si>
  <si>
    <t>Global (excluding Asia) Capacity MW (Max)</t>
  </si>
  <si>
    <t>Global (excluding Asia) 5-Year Weighted Mean Distance to Shore</t>
  </si>
  <si>
    <t>Global (excluding Asia) 5-Year Weighted Mean Depth</t>
  </si>
  <si>
    <t>Global (excluding Asia) Capacity MW (Max)3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</si>
</sst>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0.0"/>
    <numFmt numFmtId="165" formatCode="#,##0.0"/>
    <numFmt numFmtId="166" formatCode="_(* #,##0_);_(* \(#,##0\);_(* &quot;-&quot;??_);_(@_)"/>
    <numFmt numFmtId="167" formatCode="&quot;$&quot;#,##0"/>
  </numFmts>
  <fonts count="7" x14ac:knownFonts="1">
    <font>
      <sz val="12"/>
      <color theme="1"/>
      <name val="Calibri"/>
      <family val="2"/>
      <scheme val="minor"/>
    </font>
    <font>
      <b/>
      <sz val="12"/>
      <color theme="1"/>
      <name val="Calibri"/>
      <family val="2"/>
      <scheme val="minor"/>
    </font>
    <font>
      <b/>
      <sz val="18"/>
      <color theme="1"/>
      <name val="Calibri"/>
      <family val="2"/>
      <scheme val="minor"/>
    </font>
    <font>
      <sz val="12"/>
      <color theme="1"/>
      <name val="Times New Roman"/>
      <family val="1"/>
    </font>
    <font>
      <u/>
      <sz val="12"/>
      <color theme="10"/>
      <name val="Calibri"/>
      <family val="2"/>
      <scheme val="minor"/>
    </font>
    <font>
      <sz val="8"/>
      <name val="Calibri"/>
      <family val="2"/>
      <scheme val="minor"/>
    </font>
    <font>
      <sz val="12"/>
      <color theme="1"/>
      <name val="Calibri"/>
      <family val="2"/>
      <scheme val="minor"/>
    </font>
  </fonts>
  <fills count="3">
    <fill>
      <patternFill patternType="none"/>
    </fill>
    <fill>
      <patternFill patternType="gray125"/>
    </fill>
    <fill>
      <patternFill patternType="solid">
        <fgColor theme="0" tint="-0.14999847407452621"/>
        <bgColor theme="0" tint="-0.14999847407452621"/>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theme="1"/>
      </bottom>
      <diagonal/>
    </border>
    <border>
      <left/>
      <right/>
      <top style="thin">
        <color indexed="64"/>
      </top>
      <bottom style="thin">
        <color theme="1"/>
      </bottom>
      <diagonal/>
    </border>
    <border>
      <left/>
      <right style="medium">
        <color indexed="64"/>
      </right>
      <top style="thin">
        <color indexed="64"/>
      </top>
      <bottom style="thin">
        <color theme="1"/>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5">
    <xf numFmtId="0" fontId="0" fillId="0" borderId="0"/>
    <xf numFmtId="0" fontId="4"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123">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right"/>
    </xf>
    <xf numFmtId="0" fontId="0" fillId="0" borderId="0" xfId="0" applyBorder="1" applyAlignment="1">
      <alignment horizontal="right"/>
    </xf>
    <xf numFmtId="0" fontId="0" fillId="0" borderId="0" xfId="0" applyBorder="1" applyAlignment="1">
      <alignment horizontal="center"/>
    </xf>
    <xf numFmtId="0" fontId="0" fillId="0" borderId="0" xfId="0" applyBorder="1"/>
    <xf numFmtId="0" fontId="2" fillId="0" borderId="0" xfId="0" applyFont="1" applyAlignment="1">
      <alignment horizontal="left"/>
    </xf>
    <xf numFmtId="0" fontId="2" fillId="0" borderId="0" xfId="0" applyFont="1"/>
    <xf numFmtId="0" fontId="2" fillId="0" borderId="0" xfId="0" applyFont="1" applyAlignment="1"/>
    <xf numFmtId="0" fontId="3" fillId="0" borderId="0" xfId="0" applyFont="1"/>
    <xf numFmtId="0" fontId="0" fillId="0" borderId="0" xfId="0" applyFont="1"/>
    <xf numFmtId="0" fontId="0" fillId="0" borderId="0" xfId="0" applyFont="1" applyAlignment="1">
      <alignment horizontal="center"/>
    </xf>
    <xf numFmtId="0" fontId="4" fillId="0" borderId="0" xfId="1"/>
    <xf numFmtId="0" fontId="3" fillId="0" borderId="0" xfId="0" applyFont="1" applyAlignment="1">
      <alignment wrapText="1"/>
    </xf>
    <xf numFmtId="0" fontId="1" fillId="0" borderId="0" xfId="0" applyFont="1" applyBorder="1" applyAlignment="1">
      <alignment horizontal="center"/>
    </xf>
    <xf numFmtId="0" fontId="1" fillId="0" borderId="0" xfId="0" applyFont="1" applyBorder="1" applyAlignment="1">
      <alignment horizontal="right"/>
    </xf>
    <xf numFmtId="0" fontId="0" fillId="0" borderId="0" xfId="0" applyBorder="1" applyAlignment="1">
      <alignment horizontal="left"/>
    </xf>
    <xf numFmtId="1" fontId="0" fillId="0" borderId="0" xfId="0" applyNumberFormat="1" applyBorder="1" applyAlignment="1">
      <alignment horizontal="right"/>
    </xf>
    <xf numFmtId="0" fontId="1" fillId="0" borderId="0" xfId="0" applyFont="1" applyBorder="1" applyAlignment="1">
      <alignment horizontal="left"/>
    </xf>
    <xf numFmtId="0" fontId="1" fillId="0" borderId="7" xfId="0" applyFont="1" applyBorder="1" applyAlignment="1">
      <alignment horizontal="left"/>
    </xf>
    <xf numFmtId="0" fontId="1" fillId="0" borderId="11" xfId="0" applyFont="1" applyBorder="1" applyAlignment="1">
      <alignment horizontal="left"/>
    </xf>
    <xf numFmtId="0" fontId="0" fillId="2" borderId="6" xfId="0" applyFont="1" applyFill="1" applyBorder="1" applyAlignment="1">
      <alignment horizontal="left"/>
    </xf>
    <xf numFmtId="0" fontId="0" fillId="0" borderId="6" xfId="0" applyFont="1" applyBorder="1" applyAlignment="1">
      <alignment horizontal="left"/>
    </xf>
    <xf numFmtId="0" fontId="1" fillId="0" borderId="12" xfId="0" applyFont="1" applyBorder="1" applyAlignment="1">
      <alignment horizontal="center"/>
    </xf>
    <xf numFmtId="0" fontId="1" fillId="0" borderId="13" xfId="0" applyFont="1" applyBorder="1" applyAlignment="1">
      <alignment horizontal="center"/>
    </xf>
    <xf numFmtId="3" fontId="1" fillId="0" borderId="4" xfId="0" applyNumberFormat="1" applyFont="1" applyBorder="1" applyAlignment="1">
      <alignment horizontal="right"/>
    </xf>
    <xf numFmtId="0" fontId="0" fillId="0" borderId="4" xfId="0" applyBorder="1" applyAlignment="1">
      <alignment horizontal="left"/>
    </xf>
    <xf numFmtId="3" fontId="0" fillId="0" borderId="0" xfId="0" applyNumberFormat="1" applyBorder="1" applyAlignment="1">
      <alignment horizontal="right"/>
    </xf>
    <xf numFmtId="3" fontId="1" fillId="0" borderId="0" xfId="0" applyNumberFormat="1" applyFont="1" applyBorder="1" applyAlignment="1">
      <alignment horizontal="right"/>
    </xf>
    <xf numFmtId="0" fontId="1" fillId="0" borderId="5" xfId="0" applyFont="1" applyBorder="1" applyAlignment="1">
      <alignment horizontal="center"/>
    </xf>
    <xf numFmtId="0" fontId="1" fillId="0" borderId="5" xfId="0" applyFont="1" applyFill="1" applyBorder="1" applyAlignment="1">
      <alignment horizontal="center"/>
    </xf>
    <xf numFmtId="0" fontId="1" fillId="0" borderId="5" xfId="0" applyFont="1" applyBorder="1" applyAlignment="1">
      <alignment horizontal="left" wrapText="1"/>
    </xf>
    <xf numFmtId="0" fontId="0" fillId="0" borderId="0" xfId="0" applyBorder="1" applyAlignment="1">
      <alignment horizontal="left" wrapText="1"/>
    </xf>
    <xf numFmtId="3" fontId="1" fillId="0" borderId="8" xfId="0" applyNumberFormat="1" applyFont="1" applyBorder="1" applyAlignment="1">
      <alignment horizontal="right"/>
    </xf>
    <xf numFmtId="3" fontId="1" fillId="0" borderId="10" xfId="0" applyNumberFormat="1" applyFont="1" applyBorder="1" applyAlignment="1">
      <alignment horizontal="right"/>
    </xf>
    <xf numFmtId="3" fontId="1" fillId="0" borderId="9" xfId="0" applyNumberFormat="1" applyFont="1" applyBorder="1" applyAlignment="1">
      <alignment horizontal="right"/>
    </xf>
    <xf numFmtId="0" fontId="1" fillId="0" borderId="0" xfId="0" applyFont="1" applyFill="1" applyBorder="1" applyAlignment="1">
      <alignment horizontal="center"/>
    </xf>
    <xf numFmtId="0" fontId="1" fillId="0" borderId="0" xfId="0" applyFont="1" applyBorder="1"/>
    <xf numFmtId="164" fontId="0" fillId="0" borderId="0" xfId="0" applyNumberFormat="1" applyBorder="1" applyAlignment="1">
      <alignment horizontal="right"/>
    </xf>
    <xf numFmtId="165" fontId="0" fillId="0" borderId="0" xfId="0" applyNumberFormat="1" applyBorder="1" applyAlignment="1">
      <alignment horizontal="right"/>
    </xf>
    <xf numFmtId="165" fontId="1" fillId="0" borderId="0" xfId="0" applyNumberFormat="1" applyFont="1" applyBorder="1" applyAlignment="1">
      <alignment horizontal="right"/>
    </xf>
    <xf numFmtId="0" fontId="1" fillId="0" borderId="5" xfId="0" applyFont="1" applyBorder="1"/>
    <xf numFmtId="165" fontId="0" fillId="0" borderId="0" xfId="0" applyNumberFormat="1" applyBorder="1" applyAlignment="1">
      <alignment horizontal="left"/>
    </xf>
    <xf numFmtId="165" fontId="0" fillId="0" borderId="0" xfId="0" applyNumberFormat="1" applyBorder="1" applyAlignment="1"/>
    <xf numFmtId="165" fontId="1" fillId="0" borderId="0" xfId="0" applyNumberFormat="1" applyFont="1" applyBorder="1" applyAlignment="1"/>
    <xf numFmtId="0" fontId="0" fillId="0" borderId="0" xfId="0" applyBorder="1" applyAlignment="1">
      <alignment horizontal="center" wrapText="1"/>
    </xf>
    <xf numFmtId="165" fontId="0" fillId="0" borderId="4" xfId="0" applyNumberFormat="1" applyBorder="1" applyAlignment="1">
      <alignment horizontal="right"/>
    </xf>
    <xf numFmtId="0" fontId="0" fillId="0" borderId="5" xfId="0" applyBorder="1" applyAlignment="1">
      <alignment horizontal="left" wrapText="1"/>
    </xf>
    <xf numFmtId="0" fontId="0" fillId="0" borderId="5" xfId="0" applyBorder="1" applyAlignment="1">
      <alignment horizontal="center" wrapText="1"/>
    </xf>
    <xf numFmtId="0" fontId="0" fillId="0" borderId="5" xfId="0" applyBorder="1" applyAlignment="1">
      <alignment horizontal="center"/>
    </xf>
    <xf numFmtId="0" fontId="0" fillId="0" borderId="5" xfId="0" applyBorder="1" applyAlignment="1">
      <alignment horizontal="left"/>
    </xf>
    <xf numFmtId="3" fontId="0" fillId="2" borderId="0" xfId="0" applyNumberFormat="1" applyFont="1" applyFill="1" applyBorder="1" applyAlignment="1">
      <alignment horizontal="right"/>
    </xf>
    <xf numFmtId="3" fontId="1" fillId="2" borderId="9" xfId="0" applyNumberFormat="1" applyFont="1" applyFill="1" applyBorder="1" applyAlignment="1">
      <alignment horizontal="right"/>
    </xf>
    <xf numFmtId="3" fontId="0" fillId="0" borderId="0" xfId="0" applyNumberFormat="1" applyFont="1" applyBorder="1" applyAlignment="1">
      <alignment horizontal="right"/>
    </xf>
    <xf numFmtId="0" fontId="0" fillId="0" borderId="0" xfId="0" applyFont="1" applyBorder="1"/>
    <xf numFmtId="0" fontId="1" fillId="0" borderId="0" xfId="0" applyFont="1" applyBorder="1" applyAlignment="1"/>
    <xf numFmtId="165" fontId="0" fillId="0" borderId="4" xfId="0" applyNumberFormat="1" applyBorder="1" applyAlignment="1">
      <alignment horizontal="left"/>
    </xf>
    <xf numFmtId="1" fontId="0" fillId="0" borderId="0" xfId="0" applyNumberFormat="1" applyAlignment="1">
      <alignment horizontal="right"/>
    </xf>
    <xf numFmtId="0" fontId="0" fillId="0" borderId="0" xfId="0" applyBorder="1" applyAlignment="1">
      <alignment wrapText="1"/>
    </xf>
    <xf numFmtId="3" fontId="0" fillId="0" borderId="0" xfId="0" applyNumberFormat="1" applyAlignment="1">
      <alignment horizontal="right"/>
    </xf>
    <xf numFmtId="0" fontId="0" fillId="0" borderId="5" xfId="0" applyBorder="1"/>
    <xf numFmtId="3" fontId="0" fillId="0" borderId="0" xfId="0" applyNumberFormat="1" applyFont="1" applyBorder="1" applyAlignment="1"/>
    <xf numFmtId="0" fontId="0" fillId="0" borderId="0" xfId="0" applyFont="1" applyBorder="1" applyAlignment="1">
      <alignment wrapText="1"/>
    </xf>
    <xf numFmtId="3" fontId="0" fillId="0" borderId="0" xfId="0" applyNumberFormat="1" applyFont="1" applyBorder="1" applyAlignment="1">
      <alignment wrapText="1"/>
    </xf>
    <xf numFmtId="3" fontId="0" fillId="0" borderId="0" xfId="0" applyNumberFormat="1" applyBorder="1" applyAlignment="1">
      <alignment wrapText="1"/>
    </xf>
    <xf numFmtId="0" fontId="1" fillId="0" borderId="4" xfId="0" applyFont="1" applyBorder="1" applyAlignment="1">
      <alignment wrapText="1"/>
    </xf>
    <xf numFmtId="3" fontId="1" fillId="0" borderId="4" xfId="0" applyNumberFormat="1" applyFont="1" applyBorder="1" applyAlignment="1">
      <alignment wrapText="1"/>
    </xf>
    <xf numFmtId="166" fontId="0" fillId="0" borderId="0" xfId="2" applyNumberFormat="1" applyFont="1" applyBorder="1" applyAlignment="1">
      <alignment wrapText="1"/>
    </xf>
    <xf numFmtId="166" fontId="1" fillId="0" borderId="4" xfId="2" applyNumberFormat="1" applyFont="1" applyBorder="1" applyAlignment="1">
      <alignment wrapText="1"/>
    </xf>
    <xf numFmtId="0" fontId="0" fillId="0" borderId="0" xfId="2" applyNumberFormat="1" applyFont="1" applyBorder="1" applyAlignment="1">
      <alignment horizontal="right" wrapText="1"/>
    </xf>
    <xf numFmtId="0" fontId="1" fillId="0" borderId="4" xfId="2" applyNumberFormat="1" applyFont="1" applyBorder="1" applyAlignment="1">
      <alignment horizontal="right" wrapText="1"/>
    </xf>
    <xf numFmtId="3" fontId="0" fillId="0" borderId="0" xfId="0" applyNumberFormat="1" applyAlignment="1">
      <alignment wrapText="1"/>
    </xf>
    <xf numFmtId="6" fontId="0" fillId="0" borderId="0" xfId="0" applyNumberFormat="1" applyAlignment="1">
      <alignment wrapText="1"/>
    </xf>
    <xf numFmtId="6" fontId="0" fillId="0" borderId="0" xfId="0" applyNumberFormat="1" applyBorder="1" applyAlignment="1">
      <alignment wrapText="1"/>
    </xf>
    <xf numFmtId="167" fontId="0" fillId="0" borderId="0" xfId="3" applyNumberFormat="1" applyFont="1" applyAlignment="1">
      <alignment wrapText="1"/>
    </xf>
    <xf numFmtId="0" fontId="0" fillId="0" borderId="0" xfId="0" applyAlignment="1">
      <alignment horizontal="right" wrapText="1"/>
    </xf>
    <xf numFmtId="0" fontId="1" fillId="0" borderId="4" xfId="0" applyFont="1" applyBorder="1" applyAlignment="1">
      <alignment horizontal="right" wrapText="1"/>
    </xf>
    <xf numFmtId="0" fontId="0" fillId="0" borderId="0" xfId="0" applyFont="1" applyBorder="1" applyAlignment="1">
      <alignment horizontal="right" wrapText="1"/>
    </xf>
    <xf numFmtId="0" fontId="0" fillId="0" borderId="0" xfId="0" applyAlignment="1">
      <alignment horizontal="left"/>
    </xf>
    <xf numFmtId="3" fontId="0" fillId="0" borderId="0" xfId="0" applyNumberFormat="1" applyFont="1" applyAlignment="1">
      <alignment horizontal="right"/>
    </xf>
    <xf numFmtId="0" fontId="0" fillId="0" borderId="0" xfId="0" applyFont="1" applyBorder="1" applyAlignment="1">
      <alignment horizontal="left"/>
    </xf>
    <xf numFmtId="3" fontId="1" fillId="0" borderId="0" xfId="0" applyNumberFormat="1" applyFont="1" applyAlignment="1">
      <alignment horizontal="right"/>
    </xf>
    <xf numFmtId="0" fontId="1" fillId="0" borderId="4" xfId="0" applyFont="1" applyBorder="1" applyAlignment="1">
      <alignment horizontal="left"/>
    </xf>
    <xf numFmtId="3" fontId="1" fillId="0" borderId="4" xfId="0" applyNumberFormat="1" applyFont="1" applyBorder="1" applyAlignment="1"/>
    <xf numFmtId="3" fontId="1" fillId="0" borderId="14" xfId="0" applyNumberFormat="1" applyFont="1" applyBorder="1" applyAlignment="1">
      <alignment horizontal="center"/>
    </xf>
    <xf numFmtId="3" fontId="1" fillId="0" borderId="15" xfId="0" applyNumberFormat="1" applyFont="1" applyBorder="1" applyAlignment="1">
      <alignment horizontal="center"/>
    </xf>
    <xf numFmtId="0" fontId="1" fillId="0" borderId="4" xfId="0" applyFont="1" applyBorder="1"/>
    <xf numFmtId="0" fontId="1" fillId="0" borderId="0" xfId="0" applyFont="1"/>
    <xf numFmtId="0" fontId="0" fillId="0" borderId="15" xfId="0" applyBorder="1"/>
    <xf numFmtId="167" fontId="0" fillId="0" borderId="0" xfId="0" applyNumberFormat="1"/>
    <xf numFmtId="167" fontId="1" fillId="0" borderId="15" xfId="0" applyNumberFormat="1" applyFont="1" applyBorder="1"/>
    <xf numFmtId="167" fontId="1" fillId="0" borderId="4" xfId="0" applyNumberFormat="1" applyFont="1" applyBorder="1"/>
    <xf numFmtId="167" fontId="1" fillId="0" borderId="14" xfId="0" applyNumberFormat="1" applyFont="1" applyBorder="1"/>
    <xf numFmtId="3" fontId="0" fillId="0" borderId="0" xfId="0" applyNumberFormat="1" applyBorder="1"/>
    <xf numFmtId="3" fontId="1" fillId="0" borderId="0" xfId="0" applyNumberFormat="1" applyFont="1" applyBorder="1"/>
    <xf numFmtId="166" fontId="1" fillId="0" borderId="0" xfId="2" applyNumberFormat="1" applyFont="1"/>
    <xf numFmtId="166" fontId="1" fillId="0" borderId="0" xfId="2" applyNumberFormat="1" applyFont="1" applyBorder="1"/>
    <xf numFmtId="0" fontId="0" fillId="0" borderId="0" xfId="0" applyBorder="1" applyAlignment="1">
      <alignment horizontal="right" wrapText="1"/>
    </xf>
    <xf numFmtId="3" fontId="0" fillId="0" borderId="0" xfId="0" applyNumberFormat="1" applyBorder="1" applyAlignment="1">
      <alignment horizontal="right" wrapText="1"/>
    </xf>
    <xf numFmtId="3" fontId="0" fillId="0" borderId="0" xfId="0" applyNumberFormat="1" applyAlignment="1">
      <alignment horizontal="right" wrapText="1"/>
    </xf>
    <xf numFmtId="3" fontId="0" fillId="0" borderId="0" xfId="0" applyNumberFormat="1" applyFont="1" applyBorder="1" applyAlignment="1">
      <alignment horizontal="right" wrapText="1"/>
    </xf>
    <xf numFmtId="0" fontId="0" fillId="0" borderId="0" xfId="0" applyFont="1" applyBorder="1" applyAlignment="1">
      <alignment horizontal="right"/>
    </xf>
    <xf numFmtId="165" fontId="0" fillId="0" borderId="0" xfId="0" applyNumberFormat="1" applyAlignment="1">
      <alignment horizontal="left"/>
    </xf>
    <xf numFmtId="165" fontId="0" fillId="0" borderId="0" xfId="0" applyNumberFormat="1" applyAlignment="1">
      <alignment horizontal="right"/>
    </xf>
    <xf numFmtId="165" fontId="1" fillId="0" borderId="0" xfId="0" applyNumberFormat="1" applyFont="1" applyBorder="1" applyAlignment="1">
      <alignment horizontal="left"/>
    </xf>
    <xf numFmtId="164" fontId="0" fillId="0" borderId="0" xfId="0" applyNumberFormat="1" applyAlignment="1">
      <alignment horizontal="right"/>
    </xf>
    <xf numFmtId="165" fontId="1" fillId="0" borderId="0" xfId="0" applyNumberFormat="1" applyFont="1" applyAlignment="1">
      <alignment horizontal="right"/>
    </xf>
    <xf numFmtId="165" fontId="0" fillId="0" borderId="0" xfId="0" applyNumberFormat="1" applyFont="1" applyBorder="1" applyAlignment="1">
      <alignment horizontal="right"/>
    </xf>
    <xf numFmtId="1" fontId="1" fillId="0" borderId="0" xfId="0" applyNumberFormat="1" applyFont="1" applyBorder="1" applyAlignment="1">
      <alignment horizontal="right"/>
    </xf>
    <xf numFmtId="0" fontId="1" fillId="0" borderId="16" xfId="0" applyFont="1" applyBorder="1" applyAlignment="1">
      <alignment horizontal="center"/>
    </xf>
    <xf numFmtId="166" fontId="0" fillId="0" borderId="0" xfId="2" applyNumberFormat="1" applyFont="1" applyBorder="1" applyAlignment="1">
      <alignment horizontal="right"/>
    </xf>
    <xf numFmtId="166" fontId="0" fillId="0" borderId="0" xfId="2" applyNumberFormat="1" applyFont="1" applyAlignment="1">
      <alignment horizontal="right"/>
    </xf>
    <xf numFmtId="167" fontId="0" fillId="0" borderId="0" xfId="0" applyNumberFormat="1" applyBorder="1" applyAlignment="1">
      <alignment horizontal="left"/>
    </xf>
    <xf numFmtId="167" fontId="0" fillId="0" borderId="0" xfId="0" applyNumberFormat="1" applyBorder="1" applyAlignment="1">
      <alignment horizontal="right"/>
    </xf>
    <xf numFmtId="9" fontId="0" fillId="0" borderId="0" xfId="4" applyNumberFormat="1" applyFont="1" applyBorder="1" applyAlignment="1">
      <alignment horizontal="left"/>
    </xf>
    <xf numFmtId="3" fontId="0" fillId="0" borderId="0" xfId="0" applyNumberFormat="1" applyAlignment="1">
      <alignment horizontal="center"/>
    </xf>
    <xf numFmtId="0" fontId="1" fillId="0" borderId="0" xfId="0" applyFont="1" applyAlignment="1">
      <alignment horizontal="center"/>
    </xf>
    <xf numFmtId="0" fontId="3" fillId="0" borderId="0" xfId="0" applyFont="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3" fillId="0" borderId="0" xfId="0" applyFont="1" applyAlignment="1">
      <alignment horizontal="left" vertical="center" wrapText="1"/>
    </xf>
  </cellXfs>
  <cellStyles count="5">
    <cellStyle name="Comma" xfId="2" builtinId="3"/>
    <cellStyle name="Currency" xfId="3" builtinId="4"/>
    <cellStyle name="Hyperlink" xfId="1" builtinId="8"/>
    <cellStyle name="Normal" xfId="0" builtinId="0"/>
    <cellStyle name="Percent" xfId="4" builtinId="5"/>
  </cellStyles>
  <dxfs count="539">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alignment horizontal="center" vertical="bottom" textRotation="0" wrapText="0" indent="0" justifyLastLine="0" shrinkToFit="0" readingOrder="0"/>
    </dxf>
    <dxf>
      <numFmt numFmtId="167" formatCode="&quot;$&quot;#,##0"/>
      <alignment horizontal="left" vertical="bottom" textRotation="0" wrapText="0" indent="0" justifyLastLine="0" shrinkToFit="0" readingOrder="0"/>
    </dxf>
    <dxf>
      <numFmt numFmtId="167" formatCode="&quot;$&quot;#,##0"/>
      <alignment horizontal="left" vertical="bottom" textRotation="0" wrapText="0" indent="0" justifyLastLine="0" shrinkToFit="0" readingOrder="0"/>
    </dxf>
    <dxf>
      <numFmt numFmtId="167" formatCode="&quot;$&quot;#,##0"/>
      <alignment horizontal="left" vertical="bottom" textRotation="0" wrapText="0" indent="0" justifyLastLine="0" shrinkToFit="0" readingOrder="0"/>
    </dxf>
    <dxf>
      <alignment horizontal="left" vertical="bottom"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numFmt numFmtId="167" formatCode="&quot;$&quot;#,##0"/>
      <alignment horizontal="right" vertical="bottom" textRotation="0" wrapText="0" indent="0" justifyLastLine="0" shrinkToFit="0" readingOrder="0"/>
    </dxf>
    <dxf>
      <numFmt numFmtId="167" formatCode="&quot;$&quot;#,##0"/>
      <alignment horizontal="right" vertical="bottom" textRotation="0" wrapText="0" indent="0" justifyLastLine="0" shrinkToFit="0" readingOrder="0"/>
    </dxf>
    <dxf>
      <numFmt numFmtId="167" formatCode="&quot;$&quot;#,##0"/>
      <alignment horizontal="left" vertical="bottom" textRotation="0" wrapText="0" indent="0" justifyLastLine="0" shrinkToFit="0" readingOrder="0"/>
    </dxf>
    <dxf>
      <numFmt numFmtId="167" formatCode="&quot;$&quot;#,##0"/>
      <alignment horizontal="left" vertical="bottom" textRotation="0" wrapText="0" indent="0" justifyLastLine="0" shrinkToFit="0" readingOrder="0"/>
    </dxf>
    <dxf>
      <numFmt numFmtId="167" formatCode="&quot;$&quot;#,##0"/>
      <alignment horizontal="left" vertical="bottom" textRotation="0" wrapText="0" indent="0" justifyLastLine="0" shrinkToFit="0" readingOrder="0"/>
    </dxf>
    <dxf>
      <numFmt numFmtId="167" formatCode="&quot;$&quot;#,##0"/>
      <alignment horizontal="lef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66" formatCode="_(* #,##0_);_(* \(#,##0\);_(* &quot;-&quot;??_);_(@_)"/>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right" vertical="bottom" textRotation="0" wrapText="0" indent="0" justifyLastLine="0" shrinkToFit="0" readingOrder="0"/>
    </dxf>
    <dxf>
      <font>
        <b/>
      </font>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thin">
          <color indexed="64"/>
        </bottom>
      </border>
    </dxf>
    <dxf>
      <alignment horizontal="center" vertical="bottom" textRotation="0" wrapText="1" indent="0" justifyLastLine="0" shrinkToFit="0" readingOrder="0"/>
      <border diagonalUp="0" diagonalDown="0" outline="0">
        <left style="thin">
          <color indexed="64"/>
        </left>
        <right style="thin">
          <color indexed="64"/>
        </right>
        <top/>
        <bottom/>
      </border>
    </dxf>
    <dxf>
      <numFmt numFmtId="165" formatCode="#,##0.0"/>
      <alignment horizontal="general" vertical="bottom" textRotation="0" wrapText="0" indent="0" justifyLastLine="0" shrinkToFit="0" readingOrder="0"/>
    </dxf>
    <dxf>
      <numFmt numFmtId="165" formatCode="#,##0.0"/>
      <alignment horizontal="general" vertical="bottom" textRotation="0" wrapText="0" indent="0" justifyLastLine="0" shrinkToFit="0" readingOrder="0"/>
    </dxf>
    <dxf>
      <numFmt numFmtId="165" formatCode="#,##0.0"/>
      <alignment horizontal="righ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center" vertical="bottom" textRotation="0" wrapText="0" indent="0" justifyLastLine="0" shrinkToFit="0" readingOrder="0"/>
    </dxf>
    <dxf>
      <border>
        <bottom style="thin">
          <color indexed="64"/>
        </bottom>
      </border>
    </dxf>
    <dxf>
      <alignment horizontal="center"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bottom style="thin">
          <color indexed="64"/>
        </bottom>
      </border>
    </dxf>
    <dxf>
      <numFmt numFmtId="3" formatCode="#,##0"/>
      <alignment horizontal="right" vertical="bottom" textRotation="0" wrapText="1" indent="0" justifyLastLine="0" shrinkToFit="0" readingOrder="0"/>
    </dxf>
    <dxf>
      <numFmt numFmtId="3" formatCode="#,##0"/>
      <alignment horizontal="right" vertical="bottom" textRotation="0" wrapText="1" indent="0" justifyLastLine="0" shrinkToFit="0" readingOrder="0"/>
    </dxf>
    <dxf>
      <numFmt numFmtId="3" formatCode="#,##0"/>
      <alignment horizontal="right" vertical="bottom" textRotation="0" wrapText="1" indent="0" justifyLastLine="0" shrinkToFit="0" readingOrder="0"/>
    </dxf>
    <dxf>
      <alignment horizontal="right" vertical="bottom" textRotation="0" wrapText="1" indent="0" justifyLastLine="0" shrinkToFit="0" readingOrder="0"/>
    </dxf>
    <dxf>
      <border outline="0">
        <left style="medium">
          <color rgb="FF000000"/>
        </left>
        <right style="medium">
          <color rgb="FF000000"/>
        </right>
        <top style="medium">
          <color rgb="FF000000"/>
        </top>
        <bottom style="medium">
          <color rgb="FF000000"/>
        </bottom>
      </border>
    </dxf>
    <dxf>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numFmt numFmtId="3" formatCode="#,##0"/>
      <alignment horizontal="right" vertical="bottom" textRotation="0" wrapText="1" indent="0" justifyLastLine="0" shrinkToFit="0" readingOrder="0"/>
    </dxf>
    <dxf>
      <numFmt numFmtId="3" formatCode="#,##0"/>
      <alignment horizontal="right" vertical="bottom" textRotation="0" wrapText="1" indent="0" justifyLastLine="0" shrinkToFit="0" readingOrder="0"/>
    </dxf>
    <dxf>
      <numFmt numFmtId="3" formatCode="#,##0"/>
      <alignment horizontal="right" vertical="bottom" textRotation="0" wrapText="1" indent="0" justifyLastLine="0" shrinkToFit="0" readingOrder="0"/>
    </dxf>
    <dxf>
      <alignment horizontal="right" vertical="bottom" textRotation="0" wrapText="1" indent="0" justifyLastLine="0" shrinkToFit="0" readingOrder="0"/>
    </dxf>
    <dxf>
      <border outline="0">
        <left style="medium">
          <color rgb="FF000000"/>
        </left>
        <right style="medium">
          <color rgb="FF000000"/>
        </right>
        <top style="medium">
          <color rgb="FF000000"/>
        </top>
        <bottom style="medium">
          <color rgb="FF000000"/>
        </bottom>
      </border>
    </dxf>
    <dxf>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numFmt numFmtId="166" formatCode="_(* #,##0_);_(* \(#,##0\);_(* &quot;-&quot;??_);_(@_)"/>
      <border diagonalUp="0" diagonalDown="0" outline="0">
        <left/>
        <right/>
        <top/>
        <bottom/>
      </border>
    </dxf>
    <dxf>
      <font>
        <b/>
      </font>
      <numFmt numFmtId="166" formatCode="_(* #,##0_);_(* \(#,##0\);_(* &quot;-&quot;??_);_(@_)"/>
    </dxf>
    <dxf>
      <font>
        <b/>
        <i val="0"/>
        <strike val="0"/>
        <condense val="0"/>
        <extend val="0"/>
        <outline val="0"/>
        <shadow val="0"/>
        <u val="none"/>
        <vertAlign val="baseline"/>
        <sz val="12"/>
        <color theme="1"/>
        <name val="Calibri"/>
        <family val="2"/>
        <scheme val="minor"/>
      </font>
      <border diagonalUp="0" diagonalDown="0" outline="0">
        <left/>
        <right/>
        <top/>
        <bottom/>
      </border>
    </dxf>
    <dxf>
      <font>
        <b/>
      </font>
    </dxf>
    <dxf>
      <font>
        <b/>
      </font>
    </dxf>
    <dxf>
      <border diagonalUp="0" diagonalDown="0">
        <left style="medium">
          <color indexed="64"/>
        </left>
        <right style="medium">
          <color indexed="64"/>
        </right>
        <top style="medium">
          <color indexed="64"/>
        </top>
        <bottom style="medium">
          <color indexed="64"/>
        </bottom>
      </border>
    </dxf>
    <dxf>
      <font>
        <b/>
      </font>
    </dxf>
    <dxf>
      <font>
        <b/>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diagonalUp="0" diagonalDown="0">
        <left style="medium">
          <color indexed="64"/>
        </left>
        <right style="medium">
          <color indexed="64"/>
        </right>
        <top style="medium">
          <color indexed="64"/>
        </top>
        <bottom style="medium">
          <color indexed="64"/>
        </bottom>
      </border>
    </dxf>
    <dxf>
      <font>
        <b/>
      </font>
      <numFmt numFmtId="3" formatCode="#,##0"/>
    </dxf>
    <dxf>
      <numFmt numFmtId="3" formatCode="#,##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bottom"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alignment horizontal="right" vertical="bottom" textRotation="0" wrapText="0" indent="0" justifyLastLine="0" shrinkToFit="0" readingOrder="0"/>
    </dxf>
    <dxf>
      <border outline="0">
        <bottom style="thin">
          <color rgb="FF000000"/>
        </bottom>
      </border>
    </dxf>
    <dxf>
      <numFmt numFmtId="167" formatCode="&quot;$&quot;#,##0"/>
      <alignment horizontal="right" vertical="bottom" textRotation="0" wrapText="0" indent="0" justifyLastLine="0" shrinkToFit="0" readingOrder="0"/>
      <border diagonalUp="0" diagonalDown="0">
        <left style="thin">
          <color indexed="64"/>
        </left>
        <right/>
        <top/>
        <bottom/>
        <vertical/>
        <horizontal/>
      </border>
    </dxf>
    <dxf>
      <numFmt numFmtId="167" formatCode="&quot;$&quot;#,##0"/>
      <alignment horizontal="right" vertical="bottom" textRotation="0" wrapText="0" indent="0" justifyLastLine="0" shrinkToFit="0" readingOrder="0"/>
    </dxf>
    <dxf>
      <numFmt numFmtId="167" formatCode="&quot;$&quot;#,##0"/>
      <alignment horizontal="right" vertical="bottom" textRotation="0" wrapText="0" indent="0" justifyLastLine="0" shrinkToFit="0" readingOrder="0"/>
    </dxf>
    <dxf>
      <numFmt numFmtId="167" formatCode="&quot;$&quot;#,##0"/>
      <alignment horizontal="right" vertical="bottom" textRotation="0" wrapText="0" indent="0" justifyLastLine="0" shrinkToFit="0" readingOrder="0"/>
    </dxf>
    <dxf>
      <numFmt numFmtId="167" formatCode="&quot;$&quot;#,##0"/>
      <alignment horizontal="right" vertical="bottom" textRotation="0" wrapText="0" indent="0" justifyLastLine="0" shrinkToFit="0" readingOrder="0"/>
    </dxf>
    <dxf>
      <numFmt numFmtId="167" formatCode="&quot;$&quot;#,##0"/>
      <alignment horizontal="right" vertical="bottom" textRotation="0" wrapText="0" indent="0" justifyLastLine="0" shrinkToFit="0" readingOrder="0"/>
    </dxf>
    <dxf>
      <numFmt numFmtId="167" formatCode="&quot;$&quot;#,##0"/>
      <alignment horizontal="right" vertical="bottom" textRotation="0" wrapText="0" indent="0" justifyLastLine="0" shrinkToFit="0" readingOrder="0"/>
    </dxf>
    <dxf>
      <numFmt numFmtId="167" formatCode="&quot;$&quot;#,##0"/>
      <alignment horizontal="right" vertical="bottom" textRotation="0" wrapText="0" indent="0" justifyLastLine="0" shrinkToFit="0" readingOrder="0"/>
    </dxf>
    <dxf>
      <numFmt numFmtId="167" formatCode="&quot;$&quot;#,##0"/>
      <alignment horizontal="right" vertical="bottom" textRotation="0" wrapText="0" indent="0" justifyLastLine="0" shrinkToFit="0" readingOrder="0"/>
    </dxf>
    <dxf>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border outline="0">
        <bottom style="thin">
          <color indexed="64"/>
        </bottom>
      </border>
    </dxf>
    <dxf>
      <border diagonalUp="0" diagonalDown="0">
        <left style="medium">
          <color indexed="64"/>
        </left>
        <right style="medium">
          <color indexed="64"/>
        </right>
        <top style="medium">
          <color indexed="64"/>
        </top>
        <bottom style="medium">
          <color indexed="64"/>
        </bottom>
      </border>
    </dxf>
    <dxf>
      <font>
        <b/>
      </font>
      <numFmt numFmtId="3" formatCode="#,##0"/>
      <alignment horizontal="center" vertical="bottom" textRotation="0" wrapText="0" indent="0" justifyLastLine="0" shrinkToFit="0" readingOrder="0"/>
      <border diagonalUp="0" diagonalDown="0">
        <left style="thin">
          <color indexed="64"/>
        </left>
        <right/>
        <vertical/>
      </border>
    </dxf>
    <dxf>
      <font>
        <b val="0"/>
      </font>
      <numFmt numFmtId="3" formatCode="#,##0"/>
      <alignment horizontal="general"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7" formatCode="&quot;$&quot;#,##0"/>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bottom" textRotation="0" wrapText="0" indent="0" justifyLastLine="0" shrinkToFit="0" readingOrder="0"/>
    </dxf>
    <dxf>
      <border diagonalUp="0" diagonalDown="0">
        <left style="medium">
          <color indexed="64"/>
        </left>
        <right style="medium">
          <color indexed="64"/>
        </right>
        <top/>
        <bottom style="medium">
          <color indexed="64"/>
        </bottom>
      </border>
    </dxf>
    <dxf>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6" formatCode="_(* #,##0_);_(* \(#,##0\);_(* &quot;-&quot;??_);_(@_)"/>
      <alignment horizontal="general" vertical="bottom" textRotation="0" wrapText="1" indent="0" justifyLastLine="0" shrinkToFit="0" readingOrder="0"/>
    </dxf>
    <dxf>
      <numFmt numFmtId="166" formatCode="_(* #,##0_);_(* \(#,##0\);_(* &quot;-&quot;??_);_(@_)"/>
      <alignment horizontal="general" vertical="bottom" textRotation="0" wrapText="1" indent="0" justifyLastLine="0" shrinkToFit="0" readingOrder="0"/>
    </dxf>
    <dxf>
      <numFmt numFmtId="166" formatCode="_(* #,##0_);_(* \(#,##0\);_(* &quot;-&quot;??_);_(@_)"/>
      <alignment horizontal="general" vertical="bottom" textRotation="0" wrapText="1" indent="0" justifyLastLine="0" shrinkToFit="0" readingOrder="0"/>
    </dxf>
    <dxf>
      <numFmt numFmtId="166" formatCode="_(* #,##0_);_(* \(#,##0\);_(* &quot;-&quot;??_);_(@_)"/>
      <alignment horizontal="general" vertical="bottom" textRotation="0" wrapText="1" indent="0" justifyLastLine="0" shrinkToFit="0" readingOrder="0"/>
    </dxf>
    <dxf>
      <numFmt numFmtId="166" formatCode="_(* #,##0_);_(* \(#,##0\);_(* &quot;-&quot;??_);_(@_)"/>
      <alignment horizontal="general" vertical="bottom" textRotation="0" wrapText="1" indent="0" justifyLastLine="0" shrinkToFit="0" readingOrder="0"/>
    </dxf>
    <dxf>
      <numFmt numFmtId="0" formatCode="General"/>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general" vertical="bottom" textRotation="0" wrapText="1" indent="0" justifyLastLine="0" shrinkToFit="0" readingOrder="0"/>
    </dxf>
    <dxf>
      <alignment horizontal="general" vertical="bottom" textRotation="0" wrapText="1" indent="0" justifyLastLine="0" shrinkToFit="0" readingOrder="0"/>
    </dxf>
    <dxf>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border>
        <bottom style="thin">
          <color indexed="64"/>
        </bottom>
      </border>
    </dxf>
    <dxf>
      <alignment horizontal="general" vertical="bottom" textRotation="0" wrapText="1" indent="0" justifyLastLine="0" shrinkToFit="0" readingOrder="0"/>
    </dxf>
    <dxf>
      <alignment horizontal="general" vertical="bottom"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diagonalUp="0" diagonalDown="0">
        <left style="medium">
          <color indexed="64"/>
        </left>
        <right style="medium">
          <color indexed="64"/>
        </right>
        <top style="medium">
          <color indexed="64"/>
        </top>
        <bottom style="medium">
          <color indexed="64"/>
        </bottom>
      </bord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80CD28-CD33-A142-B739-E78386CCC66C}" name="Table9" displayName="Table9" ref="B3:E11" totalsRowShown="0" tableBorderDxfId="538">
  <autoFilter ref="B3:E11" xr:uid="{0E80CD28-CD33-A142-B739-E78386CCC66C}">
    <filterColumn colId="0" hiddenButton="1"/>
    <filterColumn colId="1" hiddenButton="1"/>
    <filterColumn colId="2" hiddenButton="1"/>
    <filterColumn colId="3" hiddenButton="1"/>
  </autoFilter>
  <tableColumns count="4">
    <tableColumn id="1" xr3:uid="{49A8BFC4-90CB-4148-97F8-D2B94888ADAB}" name="Step"/>
    <tableColumn id="2" xr3:uid="{7E1A1BFB-55EA-CA47-B723-E159A9DA9F3A}" name="Phase Name"/>
    <tableColumn id="4" xr3:uid="{5991CD89-81ED-CC4C-9EAC-2BEA0AE0B829}" name="Start Criteria"/>
    <tableColumn id="3" xr3:uid="{A99D67A4-FD89-3D4F-9C12-6B6BE004EDCD}" name="End Criteria"/>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4536592-E3C4-C749-95A5-D77ACBC5AF0B}" name="Table920" displayName="Table920" ref="B3:D10" totalsRowShown="0" tableBorderDxfId="537">
  <autoFilter ref="B3:D10" xr:uid="{0E80CD28-CD33-A142-B739-E78386CCC66C}">
    <filterColumn colId="0" hiddenButton="1"/>
    <filterColumn colId="1" hiddenButton="1"/>
    <filterColumn colId="2" hiddenButton="1"/>
  </autoFilter>
  <tableColumns count="3">
    <tableColumn id="1" xr3:uid="{2C4A39B5-C02E-DB45-8094-9ECDC0494546}" name="Status"/>
    <tableColumn id="2" xr3:uid="{0AD0B5BA-608E-2044-B8E6-D8C76CA3924D}" name="Description" dataDxfId="536"/>
    <tableColumn id="3" xr3:uid="{75D26DC5-D4D9-E84C-AAF1-A0B3FEC8E25E}" name="Total" dataDxfId="53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3593E29-CE2C-4941-BA50-1EA133E64DB7}" name="Table2" displayName="Table2" ref="B3:O11" totalsRowShown="0" dataDxfId="533" headerRowBorderDxfId="534" tableBorderDxfId="532">
  <autoFilter ref="B3:O11" xr:uid="{9E4D3C29-7BE2-9B4E-A8F4-956A9A4990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AFBCEEA-5E0A-EC46-9D3A-C3B8988323BA}" name="Pipeline Classification" dataDxfId="531"/>
    <tableColumn id="3" xr3:uid="{67A17737-3EF0-C34A-BB8D-4AF56174C601}" name="California" dataDxfId="530"/>
    <tableColumn id="4" xr3:uid="{DDA7B299-D3D8-E74F-A787-D3242D88633A}" name="Connecticut" dataDxfId="529"/>
    <tableColumn id="6" xr3:uid="{A44E6F26-91C4-5B4C-A129-4D181B04BCAA}" name="Delaware" dataDxfId="528"/>
    <tableColumn id="7" xr3:uid="{E43207CB-F1DE-D541-9B40-06C3FEC00029}" name="Maine" dataDxfId="527"/>
    <tableColumn id="8" xr3:uid="{8432F393-2CAC-0146-A044-0D1691290079}" name="Maryland" dataDxfId="526"/>
    <tableColumn id="9" xr3:uid="{5CBF11DD-C680-6A43-978C-BF7DBAB600C6}" name="Massachusetts" dataDxfId="525"/>
    <tableColumn id="10" xr3:uid="{884C92BB-A244-3F4B-8D9E-BDC1BAE78945}" name="New Jersey" dataDxfId="524"/>
    <tableColumn id="11" xr3:uid="{2A9AA0E9-7E45-B243-9E59-7C3C459E0A32}" name="New York" dataDxfId="523"/>
    <tableColumn id="12" xr3:uid="{4E1625E8-AF01-6F46-8C66-A05094E896BB}" name="North Carolina" dataDxfId="522"/>
    <tableColumn id="13" xr3:uid="{F49259B7-1E68-4B4E-A7DD-0A1DA08F1218}" name="Ohio" dataDxfId="521"/>
    <tableColumn id="14" xr3:uid="{F43C641E-831B-3E46-AEB1-97AD55175952}" name="Rhode Island" dataDxfId="520"/>
    <tableColumn id="15" xr3:uid="{1D2F58CA-E9E2-DE45-9AB2-95311F8B5881}" name="Virginia" dataDxfId="519"/>
    <tableColumn id="2" xr3:uid="{52DD8F63-A1C9-7E45-87A8-AADD7CFD39FF}" name="Total" dataDxfId="51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7BF3439-5981-DA4F-A59C-DDC5DE593C97}" name="Table22" displayName="Table22" ref="B3:M36" totalsRowShown="0" headerRowDxfId="517" dataDxfId="516" tableBorderDxfId="515">
  <autoFilter ref="B3:M36" xr:uid="{C7BF3439-5981-DA4F-A59C-DDC5DE593C9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9BB249E6-1AE4-2649-AC3D-F2C318D7B679}" name="#" dataDxfId="514"/>
    <tableColumn id="2" xr3:uid="{08E7DFDC-E2F1-B946-BED7-92F1B52B2EC4}" name="Location" dataDxfId="513"/>
    <tableColumn id="3" xr3:uid="{A8E45897-4509-F840-A918-BA0329477F9F}" name="Project Name" dataDxfId="512"/>
    <tableColumn id="4" xr3:uid="{054C123E-5396-6A44-81C1-30AC643C21A6}" name="Developer" dataDxfId="511"/>
    <tableColumn id="5" xr3:uid="{334B7997-73A3-FF4F-BD29-BB64CF88BF53}" name="Lease Area" dataDxfId="510"/>
    <tableColumn id="6" xr3:uid="{12C1CF09-97AE-CD4F-929A-D69FA771018F}" name="Offtake Agreement" dataDxfId="509"/>
    <tableColumn id="7" xr3:uid="{9389F281-F2F7-4A4B-9CBD-1301B75A6494}" name="Estimated Commercial Operation Date" dataDxfId="508" dataCellStyle="Comma"/>
    <tableColumn id="8" xr3:uid="{6AAA8A95-7467-7C4B-8FC1-318A9C8F3F5F}" name="Installed (MW)" dataDxfId="507" dataCellStyle="Comma"/>
    <tableColumn id="9" xr3:uid="{4B334C57-E7C2-124C-BBC0-80ADF8C3683B}" name="Under Construction" dataDxfId="506" dataCellStyle="Comma"/>
    <tableColumn id="10" xr3:uid="{1B0AA174-C704-FE40-BBD3-033F64B21C40}" name="Permitting (MW)" dataDxfId="505" dataCellStyle="Comma"/>
    <tableColumn id="11" xr3:uid="{4CBA5DA1-5E54-9B49-8E96-FF5351A2FB53}" name="Site Control (MW)" dataDxfId="504" dataCellStyle="Comma"/>
    <tableColumn id="12" xr3:uid="{EDF8B363-CB85-AC4E-BB7F-2700294E914A}" name="Planning (MW)" dataDxfId="503" dataCellStyle="Comma"/>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F237FA6-DC4D-3F47-8320-36E6F912C70B}" name="Table2224" displayName="Table2224" ref="B3:M21" totalsRowShown="0" headerRowDxfId="502" dataDxfId="501" tableBorderDxfId="500">
  <autoFilter ref="B3:M21" xr:uid="{C7BF3439-5981-DA4F-A59C-DDC5DE593C9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DF6C963A-9D58-3240-92A4-16667F66F4DA}" name="#" dataDxfId="499"/>
    <tableColumn id="2" xr3:uid="{166BF9FC-13B6-774A-9088-050A9CAAF8E3}" name="Location" dataDxfId="498"/>
    <tableColumn id="3" xr3:uid="{E75C5AEE-2EE8-D042-B746-87DAEC934F67}" name="Project Name" dataDxfId="497"/>
    <tableColumn id="4" xr3:uid="{F89D9C84-5D1F-CD42-AA8C-1DCFDC87108D}" name="Developer" dataDxfId="496"/>
    <tableColumn id="5" xr3:uid="{83FAF3C0-6FE1-9046-84EC-F7FA68D9B373}" name="Lease Area" dataDxfId="495"/>
    <tableColumn id="6" xr3:uid="{EC2E44C7-E1E8-884D-B356-90EF27C3CFCB}" name="Offtake Agreement" dataDxfId="494"/>
    <tableColumn id="7" xr3:uid="{AE5FCC47-6AE9-F748-A891-1CDA34E7150C}" name="Estimated Commercial Operation Date" dataDxfId="493"/>
    <tableColumn id="8" xr3:uid="{DD8BD2A9-AFEB-BD43-8572-41E12513CDE6}" name="Installed (MW)" dataDxfId="492"/>
    <tableColumn id="9" xr3:uid="{D1FBE503-B8CB-8A47-A6DF-2F458DD4357C}" name="Under Construction" dataDxfId="491"/>
    <tableColumn id="10" xr3:uid="{DF9B2280-DDE1-B741-95BD-2CC512A3A1A9}" name="Permitting (MW)" dataDxfId="490"/>
    <tableColumn id="11" xr3:uid="{53E2FFB3-221C-A849-A153-79F0174D4AA5}" name="Site Control (MW)" dataDxfId="489"/>
    <tableColumn id="12" xr3:uid="{946F8A9C-C7DE-A64E-92FA-F926B6BBE291}" name="Planning (MW)" dataDxfId="48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318492E-3FF4-8B42-8DB4-E612E67CEEB1}" name="Table222425" displayName="Table222425" ref="B3:M11" totalsRowShown="0" headerRowDxfId="487" dataDxfId="486" tableBorderDxfId="485">
  <autoFilter ref="B3:M11" xr:uid="{C7BF3439-5981-DA4F-A59C-DDC5DE593C9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A4630CEE-D6CD-504E-9A87-345474FFDE73}" name="#" dataDxfId="484"/>
    <tableColumn id="2" xr3:uid="{C3155A5C-5889-B54D-A265-556DAB4D69EF}" name="Location" dataDxfId="483"/>
    <tableColumn id="3" xr3:uid="{E2508B1C-5A2B-A04A-80E5-4417D9474441}" name="Project Name" dataDxfId="482"/>
    <tableColumn id="4" xr3:uid="{E6BD06B1-3F6F-044C-A42D-127E5061F340}" name="Developer" dataDxfId="481"/>
    <tableColumn id="5" xr3:uid="{43E32024-7387-4E4B-BB3E-6E38524AF695}" name="Lease Area" dataDxfId="480"/>
    <tableColumn id="6" xr3:uid="{7D4C0A01-1212-8E41-9038-28A16213BEDB}" name="Offtake Agreement" dataDxfId="479"/>
    <tableColumn id="7" xr3:uid="{34F699DC-D898-084B-928B-AD731B1BD317}" name="Estimated Commercial Operation Date" dataDxfId="478"/>
    <tableColumn id="8" xr3:uid="{83CDB09E-FB94-AC4A-A2AB-223CCEB4EDF8}" name="Installed (MW)" dataDxfId="477"/>
    <tableColumn id="9" xr3:uid="{D95AF7C0-95C9-3343-8344-79FD5BC3C190}" name="Under Construction" dataDxfId="476"/>
    <tableColumn id="10" xr3:uid="{D425C9DA-3104-3B4C-A223-3671897EEAFA}" name="Permitting (MW)" dataDxfId="475"/>
    <tableColumn id="11" xr3:uid="{330AC1D5-F088-F54E-9225-E1CAA393606A}" name="Site Control (MW)" dataDxfId="474"/>
    <tableColumn id="12" xr3:uid="{EB45890D-FF58-4444-94B5-004BDABDE268}" name="Planning (MW)" dataDxfId="473"/>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1A9DC0-6C08-E740-A8D0-883051654452}" name="Table1" displayName="Table1" ref="B4:M18" totalsRowShown="0" headerRowDxfId="472" dataDxfId="471" tableBorderDxfId="470">
  <autoFilter ref="B4:M18" xr:uid="{45D9EE2C-1641-9546-92BE-23B0C67B16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971508EE-9654-1E4E-AC13-D831EE267DDE}" name="State" dataDxfId="469"/>
    <tableColumn id="3" xr3:uid="{96AC315B-F3AC-5E44-8B85-C48571E53F2F}" name="2022" dataDxfId="468"/>
    <tableColumn id="4" xr3:uid="{5A508CE7-2307-0949-880D-4A393C79116C}" name="2023" dataDxfId="467"/>
    <tableColumn id="5" xr3:uid="{5A486A73-DECC-F741-B25E-5508E9AB62E1}" name="2024" dataDxfId="466"/>
    <tableColumn id="6" xr3:uid="{A8791A42-9AD2-5640-A5ED-DC18791BAF70}" name="2025" dataDxfId="465"/>
    <tableColumn id="7" xr3:uid="{6564E0CD-D39D-2342-AF84-98513B0D536A}" name="2026" dataDxfId="464"/>
    <tableColumn id="8" xr3:uid="{81C4AE61-B73A-6943-8CB4-0CC6D4A0CC8B}" name="2027" dataDxfId="463"/>
    <tableColumn id="9" xr3:uid="{415C8D96-1694-5543-9823-EFA6784A282A}" name="2028" dataDxfId="462"/>
    <tableColumn id="10" xr3:uid="{D2651202-F1A7-BD4B-BB64-BAA02AA94764}" name="2029" dataDxfId="461"/>
    <tableColumn id="11" xr3:uid="{18BAACAB-24CF-5F47-9D16-FCE75FC5F2C1}" name="2030" dataDxfId="460"/>
    <tableColumn id="12" xr3:uid="{01923A59-BC51-B642-83E3-A299F154900F}" name="2031" dataDxfId="459"/>
    <tableColumn id="13" xr3:uid="{1DDE40EA-60C2-7D4E-9D4A-C1DA6863EDDD}" name="Total" dataDxfId="458"/>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8C685D5-1D23-3347-BE65-12D2E1FE7849}" name="Table25" displayName="Table25" ref="B3:F29" totalsRowShown="0" headerRowDxfId="457" dataDxfId="456" tableBorderDxfId="455">
  <autoFilter ref="B3:F29" xr:uid="{68C685D5-1D23-3347-BE65-12D2E1FE7849}">
    <filterColumn colId="0" hiddenButton="1"/>
    <filterColumn colId="1" hiddenButton="1"/>
    <filterColumn colId="2" hiddenButton="1"/>
    <filterColumn colId="3" hiddenButton="1"/>
    <filterColumn colId="4" hiddenButton="1"/>
  </autoFilter>
  <tableColumns count="5">
    <tableColumn id="1" xr3:uid="{4DCE4DEA-C07E-3E48-84A1-61E5F5D5458B}" name="Geographic Location" dataDxfId="454"/>
    <tableColumn id="2" xr3:uid="{52B46103-96C1-7343-9523-4A384C1ECB23}" name="Lease Number" dataDxfId="453"/>
    <tableColumn id="3" xr3:uid="{FC7BA018-4699-DE41-A856-B7F19DBF1092}" name="Area (km2)" dataDxfId="452"/>
    <tableColumn id="4" xr3:uid="{B764F742-F476-A646-B8B3-A25C6F9F3A9F}" name="Date Issued" dataDxfId="451"/>
    <tableColumn id="5" xr3:uid="{C3AAD2E3-AC5C-9948-A046-9335B4A11514}" name="Status" dataDxfId="450"/>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761E479-37A9-C44C-A738-A8A53727383A}" name="Table2527" displayName="Table2527" ref="B3:G9" totalsRowShown="0" headerRowDxfId="449" dataDxfId="448" tableBorderDxfId="447">
  <autoFilter ref="B3:G9" xr:uid="{68C685D5-1D23-3347-BE65-12D2E1FE7849}">
    <filterColumn colId="0" hiddenButton="1"/>
    <filterColumn colId="1" hiddenButton="1"/>
    <filterColumn colId="2" hiddenButton="1"/>
    <filterColumn colId="3" hiddenButton="1"/>
    <filterColumn colId="4" hiddenButton="1"/>
    <filterColumn colId="5" hiddenButton="1"/>
  </autoFilter>
  <tableColumns count="6">
    <tableColumn id="1" xr3:uid="{72F5BED8-8591-D045-8786-0F5D9200798A}" name="Lease Number" dataDxfId="446"/>
    <tableColumn id="2" xr3:uid="{E54F7EDD-B9A7-B84D-864B-04481DDF78F8}" name="Purchaser" dataDxfId="445"/>
    <tableColumn id="3" xr3:uid="{63E20FCE-89AB-BA42-9316-BA9CE948ABE0}" name="Developer" dataDxfId="444"/>
    <tableColumn id="4" xr3:uid="{A0532ED8-0B47-5E4F-89DA-B29BD502F6F7}" name="Area (km2)" dataDxfId="443"/>
    <tableColumn id="5" xr3:uid="{41C04BED-B70B-CA47-954B-E58F1D1D71EF}" name="Capacity (MW)" dataDxfId="442"/>
    <tableColumn id="6" xr3:uid="{E2E33B89-F8AA-FA47-8220-6F417F1E97A5}" name="Price" dataDxfId="441"/>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A1ED5D1-26B7-6C43-8F65-2F7A7368ED8A}" name="Table252728" displayName="Table252728" ref="B3:F5" totalsRowShown="0" headerRowDxfId="440" dataDxfId="439" tableBorderDxfId="438">
  <autoFilter ref="B3:F5" xr:uid="{68C685D5-1D23-3347-BE65-12D2E1FE7849}">
    <filterColumn colId="0" hiddenButton="1"/>
    <filterColumn colId="1" hiddenButton="1"/>
    <filterColumn colId="2" hiddenButton="1"/>
    <filterColumn colId="3" hiddenButton="1"/>
    <filterColumn colId="4" hiddenButton="1"/>
  </autoFilter>
  <tableColumns count="5">
    <tableColumn id="1" xr3:uid="{7F68DA6F-75B2-6C4C-BAE9-34F75D52C5E1}" name="Lease Number" dataDxfId="437"/>
    <tableColumn id="2" xr3:uid="{FF6DC0CC-5E6E-2044-B20A-81BEF8882D5F}" name="Purchaser" dataDxfId="436"/>
    <tableColumn id="3" xr3:uid="{17F0E037-5876-F94C-A11D-CA6F92D2D50F}" name="Area (km2)" dataDxfId="435"/>
    <tableColumn id="4" xr3:uid="{67CA3974-A263-7B4C-A6DE-62B3AD225F0C}" name="Capacity (MW)" dataDxfId="434"/>
    <tableColumn id="5" xr3:uid="{7CC3CE63-1EB7-494A-B902-29A59C405681}" name="Price" dataDxfId="433"/>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413C75A-9E1C-B549-A0B1-1FF2C1E14FF2}" name="Table25272829" displayName="Table25272829" ref="B3:F25" totalsRowShown="0" headerRowDxfId="432" dataDxfId="431" tableBorderDxfId="430">
  <autoFilter ref="B3:F25" xr:uid="{68C685D5-1D23-3347-BE65-12D2E1FE7849}">
    <filterColumn colId="0" hiddenButton="1"/>
    <filterColumn colId="1" hiddenButton="1"/>
    <filterColumn colId="2" hiddenButton="1"/>
    <filterColumn colId="3" hiddenButton="1"/>
    <filterColumn colId="4" hiddenButton="1"/>
  </autoFilter>
  <tableColumns count="5">
    <tableColumn id="1" xr3:uid="{6577F839-FC6E-7749-B46A-7F1834E7D9EE}" name="State" dataDxfId="429"/>
    <tableColumn id="2" xr3:uid="{0301675A-9736-6D47-98F2-E4427B0F3186}" name="Lease " dataDxfId="428"/>
    <tableColumn id="3" xr3:uid="{65E72D56-64DD-C340-9FF7-0E5EEEB15509}" name="Year" dataDxfId="427"/>
    <tableColumn id="10" xr3:uid="{8AABF3E5-D0B6-CC47-8A89-DD6096B9CD56}" name="$/km2" dataDxfId="426" dataCellStyle="Currency"/>
    <tableColumn id="12" xr3:uid="{E0E77449-E757-D24B-97B5-129579750D3D}" name="Offtake Available" dataDxfId="425"/>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8550D07-F1B6-2843-9938-3EF643001860}" name="Table252730" displayName="Table252730" ref="B3:E25" totalsRowShown="0" headerRowDxfId="424" dataDxfId="423" tableBorderDxfId="422">
  <autoFilter ref="B3:E25" xr:uid="{68C685D5-1D23-3347-BE65-12D2E1FE7849}">
    <filterColumn colId="0" hiddenButton="1"/>
    <filterColumn colId="1" hiddenButton="1"/>
    <filterColumn colId="2" hiddenButton="1"/>
    <filterColumn colId="3" hiddenButton="1"/>
  </autoFilter>
  <tableColumns count="4">
    <tableColumn id="1" xr3:uid="{3387C9FA-CB40-884C-BED6-762777407241}" name="Lease" dataDxfId="421"/>
    <tableColumn id="2" xr3:uid="{4AD8CC51-F3BF-A040-AEFA-4A5E76377F68}" name="Lease Location" dataDxfId="420"/>
    <tableColumn id="3" xr3:uid="{DB0CE250-C6D4-F647-A623-E718960F84A6}" name="Year" dataDxfId="419"/>
    <tableColumn id="4" xr3:uid="{B2E985A7-48D7-004D-9812-0AC7A046BFB3}" name="Lease Price (2022$)" dataDxfId="418"/>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5F77860-A453-334B-B3A0-BB19EDA9A47D}" name="Table25273031" displayName="Table25273031" ref="B3:F15" totalsRowShown="0" headerRowDxfId="417" dataDxfId="416" tableBorderDxfId="415">
  <autoFilter ref="B3:F15" xr:uid="{68C685D5-1D23-3347-BE65-12D2E1FE7849}">
    <filterColumn colId="0" hiddenButton="1"/>
    <filterColumn colId="1" hiddenButton="1"/>
    <filterColumn colId="2" hiddenButton="1"/>
    <filterColumn colId="3" hiddenButton="1"/>
    <filterColumn colId="4" hiddenButton="1"/>
  </autoFilter>
  <tableColumns count="5">
    <tableColumn id="1" xr3:uid="{0E041EE9-D563-3749-AAAF-388E126ABD5D}" name="State" dataDxfId="414"/>
    <tableColumn id="2" xr3:uid="{F01BC6C6-EED9-3248-B4A2-E3B23CE83091}" name="Name" dataDxfId="413"/>
    <tableColumn id="3" xr3:uid="{4C0B5462-287F-E946-A23D-37FF45F774F4}" name="Year Designated" dataDxfId="412"/>
    <tableColumn id="4" xr3:uid="{2B0B1727-987C-D44A-A1D0-F9E03AD6C7F8}" name="Area" dataDxfId="411"/>
    <tableColumn id="7" xr3:uid="{1B653FE4-7FD6-4641-AE56-821D33227E34}" name="Likely Substructure Type" dataDxfId="410"/>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5B0AC4C-9B28-0C4E-8DBB-AB99BC0B4C0D}" name="Table2527303132" displayName="Table2527303132" ref="B3:J31" totalsRowShown="0" headerRowDxfId="409" dataDxfId="408" tableBorderDxfId="407">
  <autoFilter ref="B3:J31" xr:uid="{68C685D5-1D23-3347-BE65-12D2E1FE78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D21A360-86BF-7F4F-8D0F-AFBEC55AC668}" name="Project" dataDxfId="406"/>
    <tableColumn id="2" xr3:uid="{2569F5C3-639F-6848-9DEC-F5F484B1E13D}" name="Year Signed" dataDxfId="405"/>
    <tableColumn id="3" xr3:uid="{D22EAA0F-03FF-304C-96E7-62A5504DE09E}" name="Size (MW)" dataDxfId="404"/>
    <tableColumn id="4" xr3:uid="{32EDFD57-FA13-6243-8426-E96B872CEEB0}" name="Duration (Years)" dataDxfId="403"/>
    <tableColumn id="7" xr3:uid="{A4891D14-94DA-AC43-A20F-C5298C41C47D}" name="Offtake Status" dataDxfId="402"/>
    <tableColumn id="8" xr3:uid="{43B04341-7BB4-914B-8500-03A4F4CE0641}" name="Regulator Approved" dataDxfId="401"/>
    <tableColumn id="9" xr3:uid="{0AEAE566-85A8-F840-95E0-64F5B070416F}" name="Levelized Nominal Price ($/MWh)" dataDxfId="400"/>
    <tableColumn id="11" xr3:uid="{958B93B5-6864-6749-8B05-7A26014F2045}" name="Power Delivery Year" dataDxfId="399"/>
    <tableColumn id="12" xr3:uid="{E294E5FA-A796-F44B-AEB8-AA46939DF844}" name="Power Purchaser" dataDxfId="398"/>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2C08165-DF33-744F-9900-602F50D6B1F0}" name="Table252730313233" displayName="Table252730313233" ref="B3:G13" totalsRowShown="0" headerRowDxfId="397" dataDxfId="396" tableBorderDxfId="395">
  <autoFilter ref="B3:G13" xr:uid="{68C685D5-1D23-3347-BE65-12D2E1FE7849}">
    <filterColumn colId="0" hiddenButton="1"/>
    <filterColumn colId="1" hiddenButton="1"/>
    <filterColumn colId="2" hiddenButton="1"/>
    <filterColumn colId="3" hiddenButton="1"/>
    <filterColumn colId="4" hiddenButton="1"/>
    <filterColumn colId="5" hiddenButton="1"/>
  </autoFilter>
  <tableColumns count="6">
    <tableColumn id="1" xr3:uid="{6EB2A37C-C9A0-D341-B28C-9E0F7DDD9948}" name="State" dataDxfId="394"/>
    <tableColumn id="2" xr3:uid="{0A2E6A4F-2F00-FB49-8655-8E7B32FE65E6}" name="Offshore Target (MW)" dataDxfId="393"/>
    <tableColumn id="3" xr3:uid="{46C48EFF-8842-B149-B425-A5F9ADE5E37D}" name="Goal Year" dataDxfId="392"/>
    <tableColumn id="4" xr3:uid="{B6C396D7-25EF-774A-83C2-C9D96E2EE584}" name="Amount Procured (MW)" dataDxfId="391"/>
    <tableColumn id="7" xr3:uid="{5C7B532F-E0ED-5247-8DBB-C0C6D768917D}" name="Authorities" dataDxfId="390"/>
    <tableColumn id="8" xr3:uid="{5B75AC1A-0733-9549-9525-A3817D804E34}" name="Year Implemented" dataDxfId="389"/>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738DA8D-6FBF-9A4C-90FC-FB8C2E7C11C9}" name="Table25273031323334" displayName="Table25273031323334" ref="B3:F15" totalsRowShown="0" headerRowDxfId="388" dataDxfId="387" tableBorderDxfId="386">
  <autoFilter ref="B3:F15" xr:uid="{68C685D5-1D23-3347-BE65-12D2E1FE7849}">
    <filterColumn colId="0" hiddenButton="1"/>
    <filterColumn colId="1" hiddenButton="1"/>
    <filterColumn colId="2" hiddenButton="1"/>
    <filterColumn colId="3" hiddenButton="1"/>
    <filterColumn colId="4" hiddenButton="1"/>
  </autoFilter>
  <tableColumns count="5">
    <tableColumn id="1" xr3:uid="{286050F1-D5E3-144F-9AC6-EF5ADF2E04D7}" name="Vessel Category (Vessel Name)" dataDxfId="385"/>
    <tableColumn id="2" xr3:uid="{20CDEB49-DD04-9C4D-A230-7EEA9356E264}" name="Companies Backing" dataDxfId="384"/>
    <tableColumn id="3" xr3:uid="{FB31F968-9DF5-BC43-B96F-DEA96BA56B88}" name="Project Contracts" dataDxfId="383"/>
    <tableColumn id="4" xr3:uid="{5004B75D-E613-9440-A210-FDBF0C33C145}" name=" Commissioning" dataDxfId="382"/>
    <tableColumn id="7" xr3:uid="{C34B7FD7-C0A7-A145-94CB-F83C5934CFB7}" name="Source(s)" dataDxfId="38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A9CEB35-5B52-EC48-A049-95BE2B7D3FF3}" name="Table2527303132333435" displayName="Table2527303132333435" ref="B3:E10" totalsRowShown="0" headerRowDxfId="380" dataDxfId="379" tableBorderDxfId="378">
  <autoFilter ref="B3:E10" xr:uid="{68C685D5-1D23-3347-BE65-12D2E1FE7849}">
    <filterColumn colId="0" hiddenButton="1"/>
    <filterColumn colId="1" hiddenButton="1"/>
    <filterColumn colId="2" hiddenButton="1"/>
    <filterColumn colId="3" hiddenButton="1"/>
  </autoFilter>
  <tableColumns count="4">
    <tableColumn id="1" xr3:uid="{B7857137-63CE-FD46-9B33-2DE3A28BF853}" name="Vessel/Operator" dataDxfId="377"/>
    <tableColumn id="2" xr3:uid="{DA5B587D-8FF2-1B4E-BB47-1B68D5B88C78}" name="Projects Served" dataDxfId="376"/>
    <tableColumn id="3" xr3:uid="{DC9190DA-7B90-8A42-960B-16D54F29CA4F}" name="Sponsor" dataDxfId="375"/>
    <tableColumn id="4" xr3:uid="{239D5CA0-29F2-0D4E-86B0-8ECF3D5AE24A}" name="Source(s)" dataDxfId="374"/>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E20A900-4464-6A47-8EB3-0CE777086281}" name="Table252730313233343536" displayName="Table252730313233343536" ref="B3:G22" totalsRowShown="0" headerRowDxfId="373" dataDxfId="372" tableBorderDxfId="371">
  <autoFilter ref="B3:G22" xr:uid="{68C685D5-1D23-3347-BE65-12D2E1FE7849}">
    <filterColumn colId="0" hiddenButton="1"/>
    <filterColumn colId="1" hiddenButton="1"/>
    <filterColumn colId="2" hiddenButton="1"/>
    <filterColumn colId="3" hiddenButton="1"/>
    <filterColumn colId="4" hiddenButton="1"/>
    <filterColumn colId="5" hiddenButton="1"/>
  </autoFilter>
  <tableColumns count="6">
    <tableColumn id="1" xr3:uid="{1B37B845-A829-B84A-8EDE-170F6CD1EFCD}" name="Projects Served" dataDxfId="370"/>
    <tableColumn id="2" xr3:uid="{C71E9B4F-D118-8F40-AAEB-A8C130F5C152}" name="Location" dataDxfId="369"/>
    <tableColumn id="3" xr3:uid="{17160333-AE12-8041-95B9-CB8CD535DE76}" name="Details" dataDxfId="368"/>
    <tableColumn id="4" xr3:uid="{1A07B57B-DEAF-E544-9C6D-364ACAD75D47}" name="Sponsor" dataDxfId="367"/>
    <tableColumn id="14" xr3:uid="{1916BA39-314D-DF4F-B68D-AE4814F98516}" name="Amount ($)" dataDxfId="366"/>
    <tableColumn id="15" xr3:uid="{05D27D88-3E20-2A4C-A0EE-14AF871EAD2E}" name="Source(s)" dataDxfId="365"/>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3758336-EE0C-1146-8851-39F5C0FF2B38}" name="Table25273031323334353637" displayName="Table25273031323334353637" ref="B3:F19" totalsRowShown="0" headerRowDxfId="364" dataDxfId="363" tableBorderDxfId="362">
  <autoFilter ref="B3:F19" xr:uid="{68C685D5-1D23-3347-BE65-12D2E1FE7849}">
    <filterColumn colId="0" hiddenButton="1"/>
    <filterColumn colId="1" hiddenButton="1"/>
    <filterColumn colId="2" hiddenButton="1"/>
    <filterColumn colId="3" hiddenButton="1"/>
    <filterColumn colId="4" hiddenButton="1"/>
  </autoFilter>
  <tableColumns count="5">
    <tableColumn id="1" xr3:uid="{AFB6E551-D0CC-9547-861C-A4CF264E449E}" name="Component" dataDxfId="361"/>
    <tableColumn id="2" xr3:uid="{3EDDF8D4-B745-2049-829E-1BF3AB333002}" name="Location" dataDxfId="360"/>
    <tableColumn id="15" xr3:uid="{80F5184A-7624-A446-981A-DD71B5B87DC7}" name="Investors" dataDxfId="359"/>
    <tableColumn id="17" xr3:uid="{ECC7B3FA-1B08-0B47-8A98-F64D7278F5BA}" name="Status" dataDxfId="358"/>
    <tableColumn id="18" xr3:uid="{43E680B8-7ADD-5845-8371-C9E7848952D4}" name="Announced investment ($ Million)" dataDxfId="35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45FE9C-4411-3847-91B7-BE333A73F656}" name="Table4" displayName="Table4" ref="B3:M26" totalsRowShown="0" headerRowDxfId="356" dataDxfId="354" headerRowBorderDxfId="355" tableBorderDxfId="353">
  <autoFilter ref="B3:M26" xr:uid="{A51EE0CC-2C83-7743-B2E9-3CE9A11B90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5D4B6321-B53C-4148-84C9-0F3ADD292714}" name="Commercial Operation Date" dataDxfId="352"/>
    <tableColumn id="2" xr3:uid="{9918B51E-471E-5843-89D7-FC7847017685}" name="China" dataDxfId="351"/>
    <tableColumn id="3" xr3:uid="{9242250C-C6D4-1448-B918-AE8442A5160F}" name="Denmark" dataDxfId="350"/>
    <tableColumn id="4" xr3:uid="{7B74EEED-1256-304D-B5F6-7127D3D98800}" name="Germany" dataDxfId="349"/>
    <tableColumn id="5" xr3:uid="{4991BC2B-1A29-444C-B09C-3F8EB7C50618}" name="Netherlands" dataDxfId="348"/>
    <tableColumn id="6" xr3:uid="{0FE0E66C-AE70-6745-8289-8009CA250F55}" name="Other Asia" dataDxfId="347"/>
    <tableColumn id="7" xr3:uid="{D6057629-3097-EC43-A693-EE252118B286}" name="Other Europe" dataDxfId="346"/>
    <tableColumn id="8" xr3:uid="{C6F44D1D-9A79-644C-BE33-CACC2EB46C85}" name="Taiwan" dataDxfId="345"/>
    <tableColumn id="9" xr3:uid="{9376E654-DAC0-BF4D-931F-3A9F5D84028E}" name="United Kingdom" dataDxfId="344"/>
    <tableColumn id="10" xr3:uid="{FEB5D747-D311-2748-8552-71DA70CC582C}" name="United States" dataDxfId="343"/>
    <tableColumn id="11" xr3:uid="{D74F95E5-AE6E-0545-B9C7-930944F66CB4}" name="Vietnam" dataDxfId="342"/>
    <tableColumn id="12" xr3:uid="{F75CFBE8-2ED2-1541-B169-A07B19999568}" name="Total" dataDxfId="341"/>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09F936C-1D83-9E42-BCE1-AA95F91301CC}" name="Table37" displayName="Table37" ref="B3:D16" totalsRowShown="0" tableBorderDxfId="340">
  <autoFilter ref="B3:D16" xr:uid="{709F936C-1D83-9E42-BCE1-AA95F91301CC}">
    <filterColumn colId="0" hiddenButton="1"/>
    <filterColumn colId="1" hiddenButton="1"/>
    <filterColumn colId="2" hiddenButton="1"/>
  </autoFilter>
  <tableColumns count="3">
    <tableColumn id="1" xr3:uid="{714AFA56-DE88-684B-9DCC-1DFE5B6643E6}" name="Country"/>
    <tableColumn id="2" xr3:uid="{2EFBFFFB-16FF-7649-B791-1E3E5DD41EDC}" name="Installed"/>
    <tableColumn id="3" xr3:uid="{253FE596-B1F7-9D4F-988C-CE389B0BD6A3}" name="Under Constructio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BC586D-AB50-3542-8E36-C2C4E29CDF4B}" name="Table5" displayName="Table5" ref="B3:Q36" totalsRowShown="0" dataDxfId="338" headerRowBorderDxfId="339" tableBorderDxfId="337">
  <autoFilter ref="B3:Q36" xr:uid="{ABCAB636-ACAF-9A40-B060-2EF363CA49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EBFE27B9-7EB6-3740-A33E-A3DB6526DF45}" name="Commercial Operation Date" dataDxfId="336"/>
    <tableColumn id="2" xr3:uid="{31840C3D-9FB1-724B-BC75-A4E5FFAD6FA1}" name="Belgium" dataDxfId="335"/>
    <tableColumn id="3" xr3:uid="{4FB59E03-AEB1-004D-9B22-4C5E2EC3AC4B}" name="China" dataDxfId="334"/>
    <tableColumn id="4" xr3:uid="{87895B72-6503-4742-8DBD-E2672C66AEC7}" name="Denmark" dataDxfId="333"/>
    <tableColumn id="5" xr3:uid="{1BB076DB-6DC0-CB40-BEFF-DEF5D69822E4}" name="Germany" dataDxfId="332"/>
    <tableColumn id="6" xr3:uid="{27FB366B-4229-D246-AC05-5ADBC88F0661}" name="Netherlands" dataDxfId="331"/>
    <tableColumn id="16" xr3:uid="{4FF1DB7A-97B0-DD43-AF0D-E766BCE3FFF2}" name="Oceana" dataDxfId="330"/>
    <tableColumn id="7" xr3:uid="{35EECAD7-D4C8-934F-BB5F-1D7C297BBF58}" name="Other Americas" dataDxfId="329"/>
    <tableColumn id="8" xr3:uid="{7D1E914E-9396-B140-9369-81F162914651}" name="Other Asia" dataDxfId="328"/>
    <tableColumn id="9" xr3:uid="{D2211731-ECAB-964D-B2E5-7EC3DCC57555}" name="Other Europe" dataDxfId="327"/>
    <tableColumn id="10" xr3:uid="{1E449F16-C30E-A849-B7FF-47A4C6926F5D}" name="South Korea" dataDxfId="326"/>
    <tableColumn id="11" xr3:uid="{A0C3C7D4-3E96-FC48-8D2D-41CEF8E1B0E3}" name="Taiwan" dataDxfId="325"/>
    <tableColumn id="12" xr3:uid="{19BF991F-02C1-344E-AEAF-D95160BDDC6A}" name="United Kingdom" dataDxfId="324"/>
    <tableColumn id="13" xr3:uid="{1B13F753-24F0-2649-86F7-921442EF77C1}" name="United States" dataDxfId="323"/>
    <tableColumn id="14" xr3:uid="{C5F23045-FEFD-7A4F-B8C7-6C815797AF56}" name="Vietnam" dataDxfId="322"/>
    <tableColumn id="15" xr3:uid="{6E803258-D43E-384B-8EA5-ACB124E7F889}" name="Total" dataDxfId="321"/>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967805-B972-A94B-AE5E-0EC50FA85455}" name="Table8" displayName="Table8" ref="B3:K10" totalsRowShown="0" headerRowDxfId="320" dataDxfId="319" tableBorderDxfId="318">
  <autoFilter ref="B3:K10" xr:uid="{126E2B94-9346-044C-A141-6785EF76A4C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2B595CB-B19C-CE4E-9B4E-F98908FC9533}" name="Commercial Operation Date" dataDxfId="317"/>
    <tableColumn id="2" xr3:uid="{A4800B88-6D80-7F4A-985C-114FCBE052D7}" name="China" dataDxfId="316"/>
    <tableColumn id="3" xr3:uid="{AA1F9795-6543-D74F-B841-9925B0DEC52B}" name="Denmark" dataDxfId="315"/>
    <tableColumn id="4" xr3:uid="{BE081E66-F9D0-184F-95EB-9FA6F10C8BED}" name="Germany" dataDxfId="314"/>
    <tableColumn id="5" xr3:uid="{DE59DA38-347B-9142-BDDC-12381B385992}" name="Netherlands" dataDxfId="313"/>
    <tableColumn id="6" xr3:uid="{95A094BD-23ED-1C42-B884-CA2CEEFE5AAE}" name="Other Asia" dataDxfId="312"/>
    <tableColumn id="7" xr3:uid="{0D04FDB5-DE83-094F-9EEF-6BEC9A62FB03}" name="Other Europe" dataDxfId="311"/>
    <tableColumn id="8" xr3:uid="{6AFC8274-BB35-E648-84FC-52009AB6D7FC}" name="United Kingdom" dataDxfId="310"/>
    <tableColumn id="9" xr3:uid="{263128AF-626E-D649-8A79-643779906741}" name="United States" dataDxfId="309"/>
    <tableColumn id="10" xr3:uid="{F26AD2E8-42FE-AF4E-8270-112EF83909FE}" name="Total" dataDxfId="308"/>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5982C47-A0A5-0C4C-A97F-CC183D321D70}" name="Table539" displayName="Table539" ref="B3:Q36" totalsRowShown="0" dataDxfId="306" headerRowBorderDxfId="307" tableBorderDxfId="305">
  <autoFilter ref="B3:Q36" xr:uid="{ABCAB636-ACAF-9A40-B060-2EF363CA49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37C1D31C-7073-C64E-8E22-D6C34E5238EF}" name="Commercial Operation Date" dataDxfId="304"/>
    <tableColumn id="2" xr3:uid="{73C742AC-9853-EB4A-9DB8-EF37014B86A8}" name="Belgium" dataDxfId="303"/>
    <tableColumn id="3" xr3:uid="{2FA31933-91CD-A842-A495-32FE801BEDE1}" name="China" dataDxfId="302"/>
    <tableColumn id="4" xr3:uid="{57B3F9E7-FC9D-134C-803C-FFB4583C9A0A}" name="Denmark" dataDxfId="301"/>
    <tableColumn id="5" xr3:uid="{FE8A3509-BF19-4643-9C19-2BACED3B07B5}" name="Germany" dataDxfId="300"/>
    <tableColumn id="6" xr3:uid="{86297EA4-2391-E94F-9349-26697AF64211}" name="Netherlands" dataDxfId="299"/>
    <tableColumn id="16" xr3:uid="{65936C56-C5C9-2241-8471-7B8ABAE4D2B1}" name="Oceana" dataDxfId="298"/>
    <tableColumn id="7" xr3:uid="{E869C87A-863B-7440-BD4C-74EE5EC860F6}" name="Other Americas" dataDxfId="297"/>
    <tableColumn id="8" xr3:uid="{1116C899-D83D-2D4A-8A1E-B93B2C821A6A}" name="Other Asia" dataDxfId="296"/>
    <tableColumn id="9" xr3:uid="{36E8F57E-BD1D-E340-8219-26CC30C35934}" name="Other Europe" dataDxfId="295"/>
    <tableColumn id="10" xr3:uid="{FECABF01-08C3-6641-904B-FB95C18AE792}" name="South Korea" dataDxfId="294"/>
    <tableColumn id="11" xr3:uid="{00D82A6C-7CCA-EC46-9A1F-2A38ED7A09D5}" name="Taiwan" dataDxfId="293"/>
    <tableColumn id="12" xr3:uid="{63FFE1F3-4165-9A47-B12B-536C3BB556C3}" name="United Kingdom" dataDxfId="292"/>
    <tableColumn id="13" xr3:uid="{F876484C-F1EF-764C-ACF2-FF3CBD26C7C2}" name="United States" dataDxfId="291"/>
    <tableColumn id="14" xr3:uid="{6293D5D8-217C-B54D-8E04-9DAAB482A54F}" name="Vietnam" dataDxfId="290"/>
    <tableColumn id="15" xr3:uid="{AA055558-E31F-2543-BE27-0C74F029F8D5}" name="Total" dataDxfId="289"/>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6E2CE8E-BDA6-744A-8F23-7A1A567E09F5}" name="Table7" displayName="Table7" ref="B3:G11" totalsRowShown="0" headerRowDxfId="288" dataDxfId="287" tableBorderDxfId="286">
  <autoFilter ref="B3:G11" xr:uid="{13A45933-010A-434E-AAEE-372B59ACB34B}">
    <filterColumn colId="0" hiddenButton="1"/>
    <filterColumn colId="1" hiddenButton="1"/>
    <filterColumn colId="2" hiddenButton="1"/>
    <filterColumn colId="3" hiddenButton="1"/>
    <filterColumn colId="4" hiddenButton="1"/>
    <filterColumn colId="5" hiddenButton="1"/>
  </autoFilter>
  <tableColumns count="6">
    <tableColumn id="1" xr3:uid="{0DC6B5F4-80B9-FB41-93D2-D302DA7CF099}" name="Pipeline Classification" dataDxfId="285"/>
    <tableColumn id="2" xr3:uid="{20F9D138-1891-6840-A132-325AA31B2DE4}" name="Asia" dataDxfId="284"/>
    <tableColumn id="3" xr3:uid="{0AFCA2A9-4A67-B244-BDC0-B79DCC2A27EB}" name="Europe" dataDxfId="283"/>
    <tableColumn id="4" xr3:uid="{B49D42D3-CE8B-A348-9869-E7DC64911D38}" name="United States" dataDxfId="282"/>
    <tableColumn id="5" xr3:uid="{6F891678-5697-154E-893E-A6CE1487F4EC}" name="Other" dataDxfId="281"/>
    <tableColumn id="6" xr3:uid="{77E44285-0C67-614F-B575-EC372720F61F}" name="Total" dataDxfId="280"/>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BB348F7-22BB-D04A-A8FE-ADAFE1A3FBCF}" name="Table740" displayName="Table740" ref="B3:G11" totalsRowShown="0" headerRowDxfId="279" dataDxfId="278" tableBorderDxfId="277">
  <autoFilter ref="B3:G11" xr:uid="{13A45933-010A-434E-AAEE-372B59ACB34B}">
    <filterColumn colId="0" hiddenButton="1"/>
    <filterColumn colId="1" hiddenButton="1"/>
    <filterColumn colId="2" hiddenButton="1"/>
    <filterColumn colId="3" hiddenButton="1"/>
    <filterColumn colId="4" hiddenButton="1"/>
    <filterColumn colId="5" hiddenButton="1"/>
  </autoFilter>
  <tableColumns count="6">
    <tableColumn id="1" xr3:uid="{4B2ABC2D-164F-9242-B975-9C4467E8D5C7}" name="Pipeline Classification" dataDxfId="276"/>
    <tableColumn id="2" xr3:uid="{1C32C1EE-D37E-0A45-858C-FCC1BE2F6C98}" name="Asia" dataDxfId="275"/>
    <tableColumn id="3" xr3:uid="{3A6C7A27-D37D-2540-8267-0304B217CD05}" name="Europe" dataDxfId="274"/>
    <tableColumn id="4" xr3:uid="{D383DFE1-5EF3-8243-A568-AAC73BCE7853}" name="United States" dataDxfId="273"/>
    <tableColumn id="5" xr3:uid="{29E34B27-BEE6-2744-8BDF-EBE834EC2486}" name="Other" dataDxfId="272"/>
    <tableColumn id="6" xr3:uid="{9531B1FB-BC30-7047-8CBF-95DA3691BE8A}" name="Total" dataDxfId="271"/>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BAC64F5-06B6-6345-86C8-8FEF3CD38968}" name="Table40" displayName="Table40" ref="B3:I20" totalsRowShown="0" tableBorderDxfId="270">
  <autoFilter ref="B3:I20" xr:uid="{1BAC64F5-06B6-6345-86C8-8FEF3CD3896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A424303-F5B6-9F4C-8C54-BCE0A802B898}" name="Country"/>
    <tableColumn id="2" xr3:uid="{BE7F72FB-DDDB-B14C-85BA-99C4EF906E7F}" name="Operating (MW)"/>
    <tableColumn id="3" xr3:uid="{87DFB285-055C-904A-87CA-8B578F1394C6}" name="Under Construction (MW)"/>
    <tableColumn id="4" xr3:uid="{D1A038DC-3697-F44D-B6E2-271DF3449EDC}" name="Financial Close (MW)"/>
    <tableColumn id="5" xr3:uid="{C88B5F97-3118-E949-AC04-6789BB502D06}" name="Approved (MW)"/>
    <tableColumn id="6" xr3:uid="{C743F49E-3FA7-6F4C-A193-C5C8B31A2E6F}" name="Permitting (MW)"/>
    <tableColumn id="7" xr3:uid="{A8C686ED-7E95-5843-A66F-4860D6C2E525}" name="Planning (MW)" dataDxfId="269"/>
    <tableColumn id="8" xr3:uid="{4C5A456B-3C7C-4D4C-985D-BD7F5EE9388D}" name="Total (MW)" dataDxfId="268"/>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A720AAC-48F5-8443-AEEF-53DA1F9C279C}" name="Table42" displayName="Table42" ref="B4:AM20" totalsRowCount="1" tableBorderDxfId="267">
  <autoFilter ref="B4:AM19" xr:uid="{3A720AAC-48F5-8443-AEEF-53DA1F9C27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8AD7628C-BA9D-9A4A-9B27-30298BBD2D74}" name="Country" totalsRowLabel="Total"/>
    <tableColumn id="2" xr3:uid="{333EE39E-08C7-F449-BFFA-0C4BA2CD151A}" name="1995" totalsRowFunction="custom" dataDxfId="266">
      <totalsRowFormula>SUM(Table42[1995])</totalsRowFormula>
    </tableColumn>
    <tableColumn id="3" xr3:uid="{9B02DDDC-8D4F-9847-9F4B-ACD08FC5B424}" name="1996" totalsRowFunction="custom" dataDxfId="265">
      <totalsRowFormula>SUM(Table42[1996])</totalsRowFormula>
    </tableColumn>
    <tableColumn id="4" xr3:uid="{AF377D91-8D9F-CC4A-8A16-8E9275B661B2}" name="1997" totalsRowFunction="custom" dataDxfId="264">
      <totalsRowFormula>SUM(Table42[1997])</totalsRowFormula>
    </tableColumn>
    <tableColumn id="5" xr3:uid="{A90AAC75-8591-C24E-B00E-0B157CCEA4F1}" name="1998" totalsRowFunction="custom" dataDxfId="263">
      <totalsRowFormula>SUM(Table42[1998])</totalsRowFormula>
    </tableColumn>
    <tableColumn id="6" xr3:uid="{5DB30EFC-88CF-0E43-A71F-C6A16C734336}" name="1999" totalsRowFunction="custom" dataDxfId="262">
      <totalsRowFormula>SUM(Table42[1999])</totalsRowFormula>
    </tableColumn>
    <tableColumn id="7" xr3:uid="{180DF749-F99A-7A46-889C-3F66D1C75F74}" name="2000" totalsRowFunction="custom" dataDxfId="261">
      <totalsRowFormula>SUM(Table42[2000])</totalsRowFormula>
    </tableColumn>
    <tableColumn id="8" xr3:uid="{ACDFEF35-631D-A640-9C3C-4F7DF0C495F1}" name="2001" totalsRowFunction="custom" dataDxfId="260">
      <totalsRowFormula>SUM(Table42[2001])</totalsRowFormula>
    </tableColumn>
    <tableColumn id="9" xr3:uid="{8FE80019-9AFE-4D49-B533-7C935D9446B3}" name="2002" totalsRowFunction="custom" dataDxfId="259">
      <totalsRowFormula>SUM(Table42[2002])</totalsRowFormula>
    </tableColumn>
    <tableColumn id="10" xr3:uid="{EA9C1607-9C07-BC4D-8820-17EB118F89AC}" name="2003" totalsRowFunction="custom" dataDxfId="258">
      <totalsRowFormula>SUM(Table42[2003])</totalsRowFormula>
    </tableColumn>
    <tableColumn id="11" xr3:uid="{5648DECA-BD88-5248-8357-83DE5F893881}" name="2004" totalsRowFunction="custom" dataDxfId="257">
      <totalsRowFormula>SUM(Table42[2004])</totalsRowFormula>
    </tableColumn>
    <tableColumn id="12" xr3:uid="{6E36B711-5D0D-534A-87BC-42A9C00B0584}" name="2005" totalsRowFunction="custom" dataDxfId="256">
      <totalsRowFormula>SUM(Table42[2005])</totalsRowFormula>
    </tableColumn>
    <tableColumn id="13" xr3:uid="{782E4BC4-36D8-A246-A20E-605AC6A32ABE}" name="2006" totalsRowFunction="custom" dataDxfId="255">
      <totalsRowFormula>SUM(Table42[2006])</totalsRowFormula>
    </tableColumn>
    <tableColumn id="14" xr3:uid="{7937FF27-DAFC-F64D-9061-F4095E385C62}" name="2007" totalsRowFunction="custom" dataDxfId="254">
      <totalsRowFormula>SUM(Table42[2007])</totalsRowFormula>
    </tableColumn>
    <tableColumn id="15" xr3:uid="{BADAA228-DF6B-6242-B3B4-810E8C1B1656}" name="2008" totalsRowFunction="custom" dataDxfId="253">
      <totalsRowFormula>SUM(Table42[2008])</totalsRowFormula>
    </tableColumn>
    <tableColumn id="16" xr3:uid="{3B53ACCF-41D7-074A-97BB-8EAD94E8EE8E}" name="2009" totalsRowFunction="custom" dataDxfId="252">
      <totalsRowFormula>SUM(Table42[2009])</totalsRowFormula>
    </tableColumn>
    <tableColumn id="17" xr3:uid="{9BA6A392-5740-6C48-AA0F-8E3A6485363D}" name="2010" totalsRowFunction="custom" dataDxfId="251">
      <totalsRowFormula>SUM(Table42[2010])</totalsRowFormula>
    </tableColumn>
    <tableColumn id="18" xr3:uid="{DFB278BA-69C9-8D40-B762-0F038876EE1D}" name="2011" totalsRowFunction="custom" dataDxfId="250">
      <totalsRowFormula>SUM(Table42[2011])</totalsRowFormula>
    </tableColumn>
    <tableColumn id="19" xr3:uid="{C9DCEDAA-7E87-8D4B-B646-7DFA748C6314}" name="2012" totalsRowFunction="custom" dataDxfId="249">
      <totalsRowFormula>SUM(Table42[2012])</totalsRowFormula>
    </tableColumn>
    <tableColumn id="20" xr3:uid="{5EA6B9AC-087A-CD45-AFB6-079F554FC4EB}" name="2013" totalsRowFunction="custom" dataDxfId="248">
      <totalsRowFormula>SUM(Table42[2013])</totalsRowFormula>
    </tableColumn>
    <tableColumn id="21" xr3:uid="{3D494AD9-45FF-884F-97A8-F0F80BE5DE37}" name="2014" totalsRowFunction="custom" dataDxfId="247">
      <totalsRowFormula>SUM(Table42[2014])</totalsRowFormula>
    </tableColumn>
    <tableColumn id="22" xr3:uid="{ABAD9077-EDDA-444F-B8E2-5A0F7E68CD79}" name="2015" totalsRowFunction="custom" dataDxfId="246">
      <totalsRowFormula>SUM(Table42[2015])</totalsRowFormula>
    </tableColumn>
    <tableColumn id="23" xr3:uid="{88D32CF6-4322-094B-89FB-453AB1BE83DC}" name="2016" totalsRowFunction="custom" dataDxfId="245">
      <totalsRowFormula>SUM(Table42[2016])</totalsRowFormula>
    </tableColumn>
    <tableColumn id="24" xr3:uid="{91A253DB-0234-E242-BFE0-62B002436DB8}" name="2017" totalsRowFunction="custom" dataDxfId="244">
      <totalsRowFormula>SUM(Table42[2017])</totalsRowFormula>
    </tableColumn>
    <tableColumn id="25" xr3:uid="{68DA181F-8501-0D4D-89CA-6CD8B4732EC2}" name="2018" totalsRowFunction="custom" dataDxfId="243">
      <totalsRowFormula>SUM(Table42[2018])</totalsRowFormula>
    </tableColumn>
    <tableColumn id="26" xr3:uid="{5C8D42A1-C89D-0146-9DBD-888FB5849330}" name="2019" totalsRowFunction="custom" dataDxfId="242">
      <totalsRowFormula>SUM(Table42[2019])</totalsRowFormula>
    </tableColumn>
    <tableColumn id="27" xr3:uid="{82A10B77-BA40-9645-8973-72D99FEB030B}" name="2020" totalsRowFunction="custom" dataDxfId="241">
      <totalsRowFormula>SUM(Table42[2020])</totalsRowFormula>
    </tableColumn>
    <tableColumn id="28" xr3:uid="{1CD9A3C6-8B41-2B47-AA3E-8D88AF6B80CA}" name="2021" totalsRowFunction="custom" dataDxfId="240">
      <totalsRowFormula>SUM(Table42[2021])</totalsRowFormula>
    </tableColumn>
    <tableColumn id="29" xr3:uid="{373EF9DA-1A3F-744F-A10F-9CAACC376220}" name="2022" totalsRowFunction="custom" dataDxfId="239">
      <totalsRowFormula>SUM(Table42[2022])</totalsRowFormula>
    </tableColumn>
    <tableColumn id="30" xr3:uid="{42E2B201-5882-D34D-A994-97DDC1558880}" name="2023" totalsRowFunction="custom" dataDxfId="238">
      <totalsRowFormula>SUM(Table42[2023])</totalsRowFormula>
    </tableColumn>
    <tableColumn id="31" xr3:uid="{06D3061D-6549-C449-B030-D1DC1402FD11}" name="2024" totalsRowFunction="custom" dataDxfId="237">
      <totalsRowFormula>SUM(Table42[2024])</totalsRowFormula>
    </tableColumn>
    <tableColumn id="32" xr3:uid="{BE3FBB62-892D-6449-901C-950467A7DB20}" name="2025" totalsRowFunction="custom" dataDxfId="236">
      <totalsRowFormula>SUM(Table42[2025])</totalsRowFormula>
    </tableColumn>
    <tableColumn id="33" xr3:uid="{1CEF4777-BE27-DD40-994F-74200AD518D9}" name="2026" totalsRowFunction="custom" dataDxfId="235">
      <totalsRowFormula>SUM(Table42[2026])</totalsRowFormula>
    </tableColumn>
    <tableColumn id="34" xr3:uid="{1A2CCCEC-8E99-784D-9D1D-9FE56D7C14E7}" name="2027" totalsRowFunction="custom" dataDxfId="234">
      <totalsRowFormula>SUM(Table42[2027])</totalsRowFormula>
    </tableColumn>
    <tableColumn id="35" xr3:uid="{B63B4E8E-DB3C-F240-9295-241C339CB64C}" name="2028" totalsRowFunction="custom" dataDxfId="233">
      <totalsRowFormula>SUM(Table42[2028])</totalsRowFormula>
    </tableColumn>
    <tableColumn id="36" xr3:uid="{5DD1169D-D608-084F-A1ED-10E7FC80CC50}" name="2029" totalsRowFunction="custom" dataDxfId="232">
      <totalsRowFormula>SUM(Table42[2029])</totalsRowFormula>
    </tableColumn>
    <tableColumn id="37" xr3:uid="{6C046826-E639-C749-87F2-17165402B02A}" name="2030" totalsRowFunction="custom" dataDxfId="231">
      <totalsRowFormula>SUM(Table42[2030])</totalsRowFormula>
    </tableColumn>
    <tableColumn id="38" xr3:uid="{EFF4CAEA-9BBB-6C4F-873E-8DDAC3ED894A}" name="2031" totalsRowFunction="custom" dataDxfId="230">
      <totalsRowFormula>SUM(Table42[2031])</totalsRowFormula>
    </tableColumn>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79F7EC3-6B3C-7F40-9BEE-926E4A98F980}" name="Table43" displayName="Table43" ref="B24:AM40" totalsRowCount="1" headerRowDxfId="229" dataDxfId="228" totalsRowDxfId="226" tableBorderDxfId="227">
  <autoFilter ref="B24:AM39" xr:uid="{B79F7EC3-6B3C-7F40-9BEE-926E4A98F98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F344B19B-2280-2547-A501-7F77C6A579ED}" name="Country" totalsRowLabel="Total" dataDxfId="225" totalsRowDxfId="224"/>
    <tableColumn id="2" xr3:uid="{AF8CFF55-965F-4D47-81B9-5AF6204E337D}" name="1995" totalsRowFunction="custom" dataDxfId="223" totalsRowDxfId="222" dataCellStyle="Comma" totalsRowCellStyle="Comma">
      <totalsRowFormula>SUM(Table43[1995])</totalsRowFormula>
    </tableColumn>
    <tableColumn id="3" xr3:uid="{C094A8C7-C208-964D-A617-5E6A870F5D70}" name="1996" totalsRowFunction="sum" dataDxfId="221" totalsRowDxfId="220" dataCellStyle="Comma" totalsRowCellStyle="Comma"/>
    <tableColumn id="4" xr3:uid="{4579D475-23C2-9B4C-98E1-489B0E51E488}" name="1997" totalsRowFunction="sum" dataDxfId="219" totalsRowDxfId="218" dataCellStyle="Comma" totalsRowCellStyle="Comma"/>
    <tableColumn id="5" xr3:uid="{77B44B29-A588-9C45-A4D9-34B834E7F497}" name="1998" totalsRowFunction="sum" dataDxfId="217" totalsRowDxfId="216" dataCellStyle="Comma" totalsRowCellStyle="Comma"/>
    <tableColumn id="6" xr3:uid="{EBB05E4D-3E3F-0944-B579-F86E9BA615C7}" name="1999" totalsRowFunction="sum" dataDxfId="215" totalsRowDxfId="214" dataCellStyle="Comma" totalsRowCellStyle="Comma"/>
    <tableColumn id="7" xr3:uid="{8C96022F-DD4A-3943-AC06-C0DFF636B58B}" name="2000" totalsRowFunction="sum" dataDxfId="213" totalsRowDxfId="212" dataCellStyle="Comma" totalsRowCellStyle="Comma"/>
    <tableColumn id="8" xr3:uid="{82EB6D02-712E-AE46-A578-703FB1F34F75}" name="2001" totalsRowFunction="sum" dataDxfId="211" totalsRowDxfId="210" dataCellStyle="Comma" totalsRowCellStyle="Comma"/>
    <tableColumn id="9" xr3:uid="{4AB7FFB3-7DFA-7F4E-B037-C276CFBD221A}" name="2002" totalsRowFunction="sum" dataDxfId="209" totalsRowDxfId="208" dataCellStyle="Comma" totalsRowCellStyle="Comma"/>
    <tableColumn id="10" xr3:uid="{92FFF291-4952-B944-8424-9B881812C93C}" name="2003" totalsRowFunction="sum" dataDxfId="207" totalsRowDxfId="206" dataCellStyle="Comma" totalsRowCellStyle="Comma"/>
    <tableColumn id="11" xr3:uid="{F625E7CD-13FE-E943-8CA2-CA9E60306F4A}" name="2004" totalsRowFunction="sum" dataDxfId="205" totalsRowDxfId="204" dataCellStyle="Comma" totalsRowCellStyle="Comma"/>
    <tableColumn id="12" xr3:uid="{2371CC36-480B-AF44-9A2A-742039100169}" name="2005" totalsRowFunction="sum" dataDxfId="203" totalsRowDxfId="202" dataCellStyle="Comma" totalsRowCellStyle="Comma"/>
    <tableColumn id="13" xr3:uid="{CC84EE0E-0503-B24C-80AA-B8760EFB047F}" name="2006" totalsRowFunction="sum" dataDxfId="201" totalsRowDxfId="200" dataCellStyle="Comma" totalsRowCellStyle="Comma"/>
    <tableColumn id="14" xr3:uid="{4437E699-347B-2A41-AB67-C8C46CE6F7D8}" name="2007" totalsRowFunction="sum" dataDxfId="199" totalsRowDxfId="198" dataCellStyle="Comma" totalsRowCellStyle="Comma"/>
    <tableColumn id="15" xr3:uid="{C8CD8257-FF30-4740-BFE8-C96E9CA85232}" name="2008" totalsRowFunction="sum" dataDxfId="197" totalsRowDxfId="196" dataCellStyle="Comma" totalsRowCellStyle="Comma"/>
    <tableColumn id="16" xr3:uid="{90E9D642-25AE-C047-AF29-C13ED068ADE4}" name="2009" totalsRowFunction="sum" dataDxfId="195" totalsRowDxfId="194" dataCellStyle="Comma" totalsRowCellStyle="Comma"/>
    <tableColumn id="17" xr3:uid="{58334F1B-E995-634A-A9B8-776BFB65388D}" name="2010" totalsRowFunction="sum" dataDxfId="193" totalsRowDxfId="192" dataCellStyle="Comma" totalsRowCellStyle="Comma"/>
    <tableColumn id="18" xr3:uid="{0DFCFF77-E5FA-7A4D-BF13-EB7D58238E9E}" name="2011" totalsRowFunction="sum" dataDxfId="191" totalsRowDxfId="190" dataCellStyle="Comma" totalsRowCellStyle="Comma"/>
    <tableColumn id="19" xr3:uid="{45CDA51F-6BC5-084A-8106-3811DE66621C}" name="2012" totalsRowFunction="sum" dataDxfId="189" totalsRowDxfId="188" dataCellStyle="Comma" totalsRowCellStyle="Comma"/>
    <tableColumn id="20" xr3:uid="{20EE4197-A814-4D47-83CA-F8A4E379034F}" name="2013" totalsRowFunction="sum" dataDxfId="187" totalsRowDxfId="186" dataCellStyle="Comma" totalsRowCellStyle="Comma"/>
    <tableColumn id="21" xr3:uid="{4EF4011F-4BB7-AD4B-B4EE-DBC0CA8941B9}" name="2014" totalsRowFunction="sum" dataDxfId="185" totalsRowDxfId="184" dataCellStyle="Comma" totalsRowCellStyle="Comma"/>
    <tableColumn id="22" xr3:uid="{668803B8-753E-2A4C-AB17-9DB30D394D18}" name="2015" totalsRowFunction="sum" dataDxfId="183" totalsRowDxfId="182" dataCellStyle="Comma" totalsRowCellStyle="Comma"/>
    <tableColumn id="23" xr3:uid="{00FE4879-0D40-4F44-A41D-C5DAC48A893E}" name="2016" totalsRowFunction="sum" dataDxfId="181" totalsRowDxfId="180" dataCellStyle="Comma" totalsRowCellStyle="Comma"/>
    <tableColumn id="24" xr3:uid="{9220E25B-D04F-F849-8446-6132D2D00430}" name="2017" totalsRowFunction="sum" dataDxfId="179" totalsRowDxfId="178" dataCellStyle="Comma" totalsRowCellStyle="Comma"/>
    <tableColumn id="25" xr3:uid="{1FF6C211-70FE-A74F-BA78-14BBC1BF1BEC}" name="2018" totalsRowFunction="sum" dataDxfId="177" totalsRowDxfId="176" dataCellStyle="Comma" totalsRowCellStyle="Comma"/>
    <tableColumn id="26" xr3:uid="{E1244BDA-EE04-C94B-9C8F-DE7E613D50D9}" name="2019" totalsRowFunction="sum" dataDxfId="175" totalsRowDxfId="174" dataCellStyle="Comma" totalsRowCellStyle="Comma"/>
    <tableColumn id="27" xr3:uid="{50E64358-A390-CE4D-8669-85DC1377B595}" name="2020" totalsRowFunction="sum" dataDxfId="173" totalsRowDxfId="172" dataCellStyle="Comma" totalsRowCellStyle="Comma"/>
    <tableColumn id="28" xr3:uid="{680EA6D6-8F2B-0343-BF71-8063AFFBDE0C}" name="2021" totalsRowFunction="sum" dataDxfId="171" totalsRowDxfId="170" dataCellStyle="Comma" totalsRowCellStyle="Comma"/>
    <tableColumn id="29" xr3:uid="{D6D114E3-8332-9148-BA69-58851774A711}" name="2022" totalsRowFunction="sum" dataDxfId="169" totalsRowDxfId="168" dataCellStyle="Comma" totalsRowCellStyle="Comma"/>
    <tableColumn id="30" xr3:uid="{0A406828-E70B-8844-B6C7-FC548F7725D4}" name="2023" totalsRowFunction="sum" dataDxfId="167" totalsRowDxfId="166" dataCellStyle="Comma" totalsRowCellStyle="Comma"/>
    <tableColumn id="31" xr3:uid="{1C5A9A4C-6522-3641-A53F-BAC5D76CAF1E}" name="2024" totalsRowFunction="sum" dataDxfId="165" totalsRowDxfId="164" dataCellStyle="Comma" totalsRowCellStyle="Comma"/>
    <tableColumn id="32" xr3:uid="{519DAAD5-700B-7F41-B18A-30AE10594585}" name="2025" totalsRowFunction="sum" dataDxfId="163" totalsRowDxfId="162" dataCellStyle="Comma" totalsRowCellStyle="Comma"/>
    <tableColumn id="33" xr3:uid="{BA2C03BD-349E-404B-BB38-C852125F5478}" name="2026" totalsRowFunction="sum" dataDxfId="161" totalsRowDxfId="160" dataCellStyle="Comma" totalsRowCellStyle="Comma"/>
    <tableColumn id="34" xr3:uid="{FC3957C4-F72F-0149-AC8D-58D3C1BB7B4F}" name="2027" totalsRowFunction="sum" dataDxfId="159" totalsRowDxfId="158" dataCellStyle="Comma" totalsRowCellStyle="Comma"/>
    <tableColumn id="35" xr3:uid="{F0D47627-0E72-2948-B489-C28637E0A4FC}" name="2028" totalsRowFunction="sum" dataDxfId="157" totalsRowDxfId="156" dataCellStyle="Comma" totalsRowCellStyle="Comma"/>
    <tableColumn id="36" xr3:uid="{9DE1A6F3-4786-774E-AD7E-0DC6D2B7DC62}" name="2029" totalsRowFunction="sum" dataDxfId="155" totalsRowDxfId="154" dataCellStyle="Comma" totalsRowCellStyle="Comma"/>
    <tableColumn id="37" xr3:uid="{A0EAFB0A-5610-4B4A-864E-832AC41B30BB}" name="2030" totalsRowFunction="sum" dataDxfId="153" totalsRowDxfId="152" dataCellStyle="Comma" totalsRowCellStyle="Comma"/>
    <tableColumn id="38" xr3:uid="{E3616BDA-720F-3649-A25C-B1A968BAFFA3}" name="2031" totalsRowFunction="sum" dataDxfId="151" totalsRowDxfId="150" dataCellStyle="Comma" totalsRowCellStyle="Comma"/>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6977EFF-0736-294B-8953-88EE3E1FFCDD}" name="Table74045" displayName="Table74045" ref="B3:H33" totalsRowShown="0" headerRowDxfId="149" dataDxfId="148" tableBorderDxfId="147">
  <autoFilter ref="B3:H33" xr:uid="{13A45933-010A-434E-AAEE-372B59ACB34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5D7D777-E1C6-2944-B58B-EDF374916773}" name="COD" dataDxfId="146"/>
    <tableColumn id="2" xr3:uid="{067D8AD7-19DD-3D49-8202-288FCC249CBF}" name="NREL OWDB" dataDxfId="145"/>
    <tableColumn id="3" xr3:uid="{7527945C-D28F-8643-9507-ABC4583E94D2}" name="GWEC 2021" dataDxfId="144"/>
    <tableColumn id="4" xr3:uid="{8E199FED-6AA7-CD4D-A00A-01D9483266C9}" name="BNEF 2021c" dataDxfId="143"/>
    <tableColumn id="5" xr3:uid="{ACCAE6DA-1436-804C-A4EC-D88917D65D5C}" name="4C Offshore 2021c" dataDxfId="142"/>
    <tableColumn id="6" xr3:uid="{23708807-782C-1146-8C58-EE13A104E5B9}" name="4C Offshore 2021d" dataDxfId="141"/>
    <tableColumn id="7" xr3:uid="{6F6C01B4-89DB-F24B-A44D-4A73C0C8D40E}" name="DNV 2021" dataDxfId="140"/>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A1D8274C-0FD8-0141-954A-BB4675F1A8E5}" name="Table7404546" displayName="Table7404546" ref="B3:E17" totalsRowShown="0" headerRowDxfId="139" dataDxfId="138" tableBorderDxfId="137">
  <autoFilter ref="B3:E17" xr:uid="{13A45933-010A-434E-AAEE-372B59ACB34B}">
    <filterColumn colId="0" hiddenButton="1"/>
    <filterColumn colId="1" hiddenButton="1"/>
    <filterColumn colId="2" hiddenButton="1"/>
    <filterColumn colId="3" hiddenButton="1"/>
  </autoFilter>
  <tableColumns count="4">
    <tableColumn id="1" xr3:uid="{4470BCFC-E06E-F44A-946E-E54D28AC00BF}" name="Country" dataDxfId="136"/>
    <tableColumn id="2" xr3:uid="{EC2C1CE9-304B-ED46-BE3F-67C785679E61}" name="National Offshore Wind Targets" dataDxfId="135"/>
    <tableColumn id="3" xr3:uid="{1F463954-B39B-1248-9148-FAC1BDB1FFE1}" name="Key Developments" dataDxfId="134"/>
    <tableColumn id="4" xr3:uid="{4B180AC3-0359-8042-840D-5CAE982DC3B6}" name="Source(s)" dataDxfId="133"/>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6BD61391-4572-914D-83F4-0939077A9FAA}" name="Table740454647" displayName="Table740454647" ref="B3:E8" totalsRowShown="0" headerRowDxfId="132" dataDxfId="131" tableBorderDxfId="130">
  <autoFilter ref="B3:E8" xr:uid="{13A45933-010A-434E-AAEE-372B59ACB34B}">
    <filterColumn colId="0" hiddenButton="1"/>
    <filterColumn colId="1" hiddenButton="1"/>
    <filterColumn colId="2" hiddenButton="1"/>
    <filterColumn colId="3" hiddenButton="1"/>
  </autoFilter>
  <tableColumns count="4">
    <tableColumn id="1" xr3:uid="{21673BCD-30BB-B547-A526-74F3AEFCEABB}" name="Country" dataDxfId="129"/>
    <tableColumn id="2" xr3:uid="{11F30736-D739-9346-B2A2-426D102A86ED}" name="National Target " dataDxfId="128"/>
    <tableColumn id="3" xr3:uid="{EE4DAC76-48AF-1640-AE46-A38B8A545F6B}" name="Key Developments" dataDxfId="127"/>
    <tableColumn id="4" xr3:uid="{A6250607-9011-1C49-AB32-BE3A421A0BBF}" name="Source(s)" dataDxfId="126"/>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6DCC95-C19F-C344-A13A-5269FA93C469}" name="Table13" displayName="Table13" ref="B3:T30" totalsRowShown="0" headerRowBorderDxfId="125" tableBorderDxfId="124">
  <autoFilter ref="B3:T30" xr:uid="{66D01478-AC65-BF46-85C9-5CFA5EC644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7F1AC124-4E0E-F442-B525-8EBEED694249}" name="Commercial Operation Date" dataDxfId="123"/>
    <tableColumn id="8" xr3:uid="{645F41D1-C97F-3440-8222-E26CCF2086A8}" name="Global Water Depth Max (m)" dataDxfId="122"/>
    <tableColumn id="9" xr3:uid="{73EDDF3B-2F27-F744-98CB-EA7A636E2B32}" name="Global (excluding Asia) Water Depth Max (m)" dataDxfId="121"/>
    <tableColumn id="10" xr3:uid="{07493FDC-8528-E345-BA8F-E7305F367795}" name="Asian Water Depth Max (m)" dataDxfId="120"/>
    <tableColumn id="11" xr3:uid="{C17EBB3A-DAF6-4F46-96E1-03FEFB29310E}" name="Global Distance From Shore Auto (km)" dataDxfId="119"/>
    <tableColumn id="12" xr3:uid="{699CC8D8-39A4-9B4B-AED5-C1F4F8589D83}" name="Global (excluding Asia) Distance From Shore Auto (km)" dataDxfId="118"/>
    <tableColumn id="13" xr3:uid="{21979731-0A7C-314A-A4E6-89ED0F535EC5}" name="Asian Distance From Shore Auto (km)" dataDxfId="117"/>
    <tableColumn id="14" xr3:uid="{E68210CA-F35B-F043-AEA0-F88E1DDCF3DF}" name="Global Capacity MW (Max)" dataDxfId="116"/>
    <tableColumn id="15" xr3:uid="{4E7FDFB4-EF09-474F-8EFF-AF1795DA87E1}" name="Global (excluding Asia) Capacity MW (Max)" dataDxfId="115"/>
    <tableColumn id="16" xr3:uid="{2565F06A-E7F1-EC4E-B985-39E5C2614FED}" name="Asian Capacity MW (Max)" dataDxfId="114"/>
    <tableColumn id="17" xr3:uid="{1B837353-CA98-CA4E-8C8A-A375DB096A6A}" name="Global Capacity MW (Max)2" dataDxfId="113"/>
    <tableColumn id="18" xr3:uid="{1F6A2577-E91E-7240-A007-5C3ED98B061F}" name="Global (excluding Asia) Capacity MW (Max)3" dataDxfId="112"/>
    <tableColumn id="19" xr3:uid="{F3CEB486-0B2B-0048-A597-79EA6530C6CF}" name="Asian Capacity MW (Max)4" dataDxfId="111"/>
    <tableColumn id="2" xr3:uid="{DB088C1A-8354-E747-A95F-FB5215466DAE}" name="Global 5-Year Weighted Mean Distance to Shore" dataDxfId="110"/>
    <tableColumn id="6" xr3:uid="{CFBD9C08-752F-C74C-8E41-BF1ECC7459A1}" name="Global (excluding Asia) 5-Year Weighted Mean Distance to Shore" dataDxfId="109"/>
    <tableColumn id="3" xr3:uid="{F1084E67-EFA1-6C4A-AE7E-E69C3C53FE55}" name="Asian 5-Year Weighted Mean Distance to Shore" dataDxfId="108"/>
    <tableColumn id="7" xr3:uid="{712E005E-C9D7-9A45-BA08-7271C38D8DB6}" name="Global 5-Year Weighted Mean Depth" dataDxfId="107"/>
    <tableColumn id="4" xr3:uid="{F10740C4-9767-C644-A2E1-9BA9EAA0BBC9}" name="Global (excluding Asia) 5-Year Weighted Mean Depth" dataDxfId="106"/>
    <tableColumn id="5" xr3:uid="{F6B3E417-8253-3E46-836C-B29684320C1F}" name="Asian 5-Year Weighted Mean Depth" dataDxfId="105"/>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22AC64-2ABF-F94A-91ED-D50FC5549893}" name="Table6" displayName="Table6" ref="B3:F15" totalsRowShown="0" headerRowDxfId="104" dataDxfId="102" headerRowBorderDxfId="103" tableBorderDxfId="101">
  <autoFilter ref="B3:F15" xr:uid="{B65E1B82-05D6-124E-BE27-017C1B0FBC06}">
    <filterColumn colId="0" hiddenButton="1"/>
    <filterColumn colId="1" hiddenButton="1"/>
    <filterColumn colId="2" hiddenButton="1"/>
    <filterColumn colId="3" hiddenButton="1"/>
    <filterColumn colId="4" hiddenButton="1"/>
  </autoFilter>
  <tableColumns count="5">
    <tableColumn id="1" xr3:uid="{197766B8-9BC8-B54F-B061-AE73A2AA7D1E}" name="Type" dataDxfId="100"/>
    <tableColumn id="5" xr3:uid="{5F201177-22BF-CF46-8EF5-C62A567DEA6A}" name="Category" dataDxfId="99"/>
    <tableColumn id="2" xr3:uid="{0B4EEB3A-29C5-914F-94EA-722A6B652995}" name="Operating" dataDxfId="98"/>
    <tableColumn id="3" xr3:uid="{A635C85F-0811-EF4F-97AD-72BB1CA59B57}" name="Announced" dataDxfId="97"/>
    <tableColumn id="4" xr3:uid="{DBAF2A7B-3F9C-6848-A039-A90F1F46D417}" name="Total" dataDxfId="96"/>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5AE6E66-CB42-714C-952E-F88EA9ECDD9D}" name="Table14" displayName="Table14" ref="B3:E30" totalsRowShown="0" headerRowDxfId="95" headerRowBorderDxfId="94" tableBorderDxfId="93">
  <autoFilter ref="B3:E30" xr:uid="{CB4C2266-55C9-4E4D-B6EC-842E65BE666A}">
    <filterColumn colId="0" hiddenButton="1"/>
    <filterColumn colId="1" hiddenButton="1"/>
    <filterColumn colId="2" hiddenButton="1"/>
    <filterColumn colId="3" hiddenButton="1"/>
  </autoFilter>
  <tableColumns count="4">
    <tableColumn id="1" xr3:uid="{F8E10AEB-DDB0-3842-BA7A-5FC061A6ED99}" name="Commercial Operation Date" dataDxfId="92"/>
    <tableColumn id="2" xr3:uid="{80FCDD67-A8B2-FF44-BF0E-291DCE877AF9}" name="Turbine Capacity (MW)" dataDxfId="91"/>
    <tableColumn id="3" xr3:uid="{D472AF95-5759-C146-8FDB-DF284145A713}" name="Rotor Diameter (m)" dataDxfId="90"/>
    <tableColumn id="4" xr3:uid="{CDA262AE-FA5C-BA48-937F-7A84F108E7AE}" name="Hub Height (m)" dataDxfId="89"/>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F87759-A179-1A40-89D7-D09B872F5EFF}" name="Table3" displayName="Table3" ref="B3:E24" totalsRowShown="0" headerRowDxfId="88" headerRowBorderDxfId="87" tableBorderDxfId="86">
  <autoFilter ref="B3:E24" xr:uid="{6A28E48C-27C1-294E-8A03-705E90443625}">
    <filterColumn colId="0" hiddenButton="1"/>
    <filterColumn colId="1" hiddenButton="1"/>
    <filterColumn colId="2" hiddenButton="1"/>
    <filterColumn colId="3" hiddenButton="1"/>
  </autoFilter>
  <tableColumns count="4">
    <tableColumn id="1" xr3:uid="{5D88933F-8039-7E4B-8728-776AD321FEB3}" name="OEM"/>
    <tableColumn id="2" xr3:uid="{06300E0B-7E8D-9D46-8851-A11A7051DD3A}" name="Operating" dataDxfId="85"/>
    <tableColumn id="3" xr3:uid="{81942593-08FB-0243-B379-110AA8B77C63}" name="Announced" dataDxfId="84"/>
    <tableColumn id="4" xr3:uid="{0401BE2C-F96A-4F44-90E3-47CD7D021C5D}" name="Total" dataDxfId="83"/>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2CCBC58-20FB-6841-B189-BCC85314890A}" name="Table15" displayName="Table15" ref="B3:R11" totalsRowShown="0" headerRowDxfId="82" dataDxfId="81" tableBorderDxfId="80">
  <autoFilter ref="B3:R11" xr:uid="{1771AADC-26D4-8A46-BBFC-51C44C800A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56BD3592-87E3-6540-B1A4-923416D5D80F}" name="Source" dataDxfId="79"/>
    <tableColumn id="8" xr3:uid="{B9942FA5-003D-9D45-A983-67AF2C3BA9AF}" name="2020" dataDxfId="78"/>
    <tableColumn id="9" xr3:uid="{91D56969-FE4F-9E41-8AA2-50F5B8328E18}" name="2021" dataDxfId="77"/>
    <tableColumn id="10" xr3:uid="{B1E850C6-0F99-C947-AA53-52A084466283}" name="2022" dataDxfId="76"/>
    <tableColumn id="11" xr3:uid="{0247C75C-2BA7-3C45-998B-C2F705074D55}" name="2023" dataDxfId="75"/>
    <tableColumn id="12" xr3:uid="{EAF9C098-85CC-6140-94B5-A54B7B244476}" name="2024" dataDxfId="74"/>
    <tableColumn id="13" xr3:uid="{1C5EED00-F2CE-2B4B-905D-606F4F01A25B}" name="2025" dataDxfId="73"/>
    <tableColumn id="14" xr3:uid="{3FE10CFC-FBE7-3A43-8626-37611145191B}" name="2026" dataDxfId="72"/>
    <tableColumn id="15" xr3:uid="{C98EED23-E2BA-694D-B27C-BC8D14D43425}" name="2027" dataDxfId="71"/>
    <tableColumn id="16" xr3:uid="{6070DDBB-32F0-4A4F-987A-87DF65908E0C}" name="2028" dataDxfId="70"/>
    <tableColumn id="17" xr3:uid="{956B870C-294C-BF4E-AFD1-8A8F9345B98D}" name="2029" dataDxfId="69"/>
    <tableColumn id="18" xr3:uid="{ADD441C7-5AAD-1945-85CE-D3DDC866AA4A}" name="2030" dataDxfId="68"/>
    <tableColumn id="19" xr3:uid="{1D60139E-2B69-4346-83D2-83B220767047}" name="2031" dataDxfId="67"/>
    <tableColumn id="20" xr3:uid="{3D540916-AAD1-3D48-B885-C9268F008145}" name="2032" dataDxfId="66"/>
    <tableColumn id="21" xr3:uid="{7207ECA0-36BA-6843-AE82-FD4A4A8065F1}" name="2033" dataDxfId="65"/>
    <tableColumn id="22" xr3:uid="{79DE9B58-74E9-2F49-A16F-2457902E24BA}" name="2034" dataDxfId="64"/>
    <tableColumn id="23" xr3:uid="{493EBC8B-0A33-2B41-9293-1DEFBFD63BAF}" name="2035" dataDxfId="63"/>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757DF078-97AA-064B-9BDE-B47BC2E9C80D}" name="Table1548" displayName="Table1548" ref="B3:D22" totalsRowShown="0" headerRowDxfId="62" dataDxfId="61" tableBorderDxfId="60">
  <autoFilter ref="B3:D22" xr:uid="{1771AADC-26D4-8A46-BBFC-51C44C800AB9}">
    <filterColumn colId="0" hiddenButton="1"/>
    <filterColumn colId="1" hiddenButton="1"/>
    <filterColumn colId="2" hiddenButton="1"/>
  </autoFilter>
  <tableColumns count="3">
    <tableColumn id="1" xr3:uid="{BE8C552E-29F2-544E-BBE7-3FBF3F5EC53B}" name="CapEx" dataDxfId="59"/>
    <tableColumn id="8" xr3:uid="{9F560DF6-3413-BD43-ADCF-748041F8E855}" name="Units" dataDxfId="58"/>
    <tableColumn id="9" xr3:uid="{7898D324-205B-A146-801E-CD97BA8FACC4}" name="Amount" dataDxfId="57" dataCellStyle="Comma"/>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8593724-A414-1549-878D-440A3C085FB8}" name="Table16" displayName="Table16" ref="B3:H24" totalsRowShown="0" tableBorderDxfId="56">
  <autoFilter ref="B3:H24" xr:uid="{A8DCD14A-E3FA-C048-9A23-4B45403D19C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9F83657-56B4-6F4E-A570-2C5008089851}" name="Commercial Operation Date" dataDxfId="55"/>
    <tableColumn id="4" xr3:uid="{450C46E8-BA03-2640-ADAA-0B28A99B77E6}" name="Global Capacity-Weighted Mean CapEx" dataDxfId="54"/>
    <tableColumn id="5" xr3:uid="{CDEDC09C-02DF-1646-9580-81CEFA9BFCC3}" name="Global 5-Year Rolling Capacity-Weighted Mean CapEx" dataDxfId="53"/>
    <tableColumn id="6" xr3:uid="{C1AE9CDF-C473-5C44-B1B1-142EFE9AA49E}" name="European and US Capacity-Weighted Mean CapEx" dataDxfId="52"/>
    <tableColumn id="7" xr3:uid="{79D68D9E-DAE5-774F-81B4-3141C91BEDDD}" name="European and US 5-Year Rolling Capacity-Weighted Mean CapEx" dataDxfId="51"/>
    <tableColumn id="2" xr3:uid="{7263536A-FE16-E14D-B388-60A271BEA7AB}" name="Asian Capacity-Weighted Mean CapEx" dataDxfId="50"/>
    <tableColumn id="3" xr3:uid="{16D49F5C-5C94-3842-90A2-7C4369A28445}" name="Asian 5-Year Rolling Capacity-Weighted Mean CapEx" dataDxfId="49"/>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A70CDE3B-5E13-A942-AD9A-23F0D586C093}" name="Table1649" displayName="Table1649" ref="B3:E6" totalsRowShown="0" tableBorderDxfId="48">
  <autoFilter ref="B3:E6" xr:uid="{A8DCD14A-E3FA-C048-9A23-4B45403D19C9}">
    <filterColumn colId="0" hiddenButton="1"/>
    <filterColumn colId="1" hiddenButton="1"/>
    <filterColumn colId="2" hiddenButton="1"/>
    <filterColumn colId="3" hiddenButton="1"/>
  </autoFilter>
  <tableColumns count="4">
    <tableColumn id="1" xr3:uid="{E9FB3EAB-D547-A04D-9778-EF88A3E5420A}" name="Category" dataDxfId="47"/>
    <tableColumn id="4" xr3:uid="{14034575-F10F-AC4C-B075-9FD004B570C1}" name="CapEx" dataDxfId="46"/>
    <tableColumn id="2" xr3:uid="{EE5590D3-DBBA-FC40-85E1-23984EC5C7B0}" name="Lease Costs" dataDxfId="45"/>
    <tableColumn id="5" xr3:uid="{B428ADB0-A916-644C-868F-67FDC9ADF5B1}" name="Relative Share" dataDxfId="44"/>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928A41C-9E2C-6D49-B915-6A386ACC2E19}" name="Table17" displayName="Table17" ref="B3:S6" totalsRowShown="0" headerRowDxfId="43" dataDxfId="42" tableBorderDxfId="41">
  <autoFilter ref="B3:S6" xr:uid="{00D4C5D2-EAD6-264E-B75F-5312ED3F67C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5F5EFA6C-6687-C742-9DD1-946C46EDD446}" name="Source" dataDxfId="40"/>
    <tableColumn id="3" xr3:uid="{DA9DD00C-57D5-7243-8AB9-CC6050931D7E}" name="2019" dataDxfId="39"/>
    <tableColumn id="4" xr3:uid="{E71165C4-2C64-B44F-BCB2-60422341DB9F}" name="2020" dataDxfId="38"/>
    <tableColumn id="5" xr3:uid="{52021E0B-764C-4A41-9CA5-FC1C8616374B}" name="2021" dataDxfId="37"/>
    <tableColumn id="6" xr3:uid="{5CC886B1-E5B2-7C41-A65B-EC2D3B29066C}" name="2022" dataDxfId="36"/>
    <tableColumn id="7" xr3:uid="{F74F9984-17E7-A74D-96F9-8AE013BD262F}" name="2023" dataDxfId="35"/>
    <tableColumn id="8" xr3:uid="{292A9566-888A-E049-B5BC-8EC0692817BA}" name="2024" dataDxfId="34"/>
    <tableColumn id="9" xr3:uid="{8A5F2196-026A-B54F-BC2E-EE7FA4CF4DA8}" name="2025" dataDxfId="33"/>
    <tableColumn id="10" xr3:uid="{D828CA1D-90A9-0442-9FD7-4017ED2180DF}" name="2026" dataDxfId="32"/>
    <tableColumn id="11" xr3:uid="{FC5C1B6A-683E-EC4C-9E3F-6697D9911E1C}" name="2027" dataDxfId="31"/>
    <tableColumn id="12" xr3:uid="{03529DB4-70F6-CB43-A016-E588D8B21274}" name="2028" dataDxfId="30"/>
    <tableColumn id="13" xr3:uid="{8462D4F4-D0E2-B045-9F8D-8C0C37BB37E1}" name="2029" dataDxfId="29"/>
    <tableColumn id="14" xr3:uid="{BCCAE0E6-8BBF-D048-84B6-9111F071A8FB}" name="2030" dataDxfId="28"/>
    <tableColumn id="15" xr3:uid="{28940DEB-002B-5640-886B-B041C624D43A}" name="2031" dataDxfId="27"/>
    <tableColumn id="16" xr3:uid="{2DB86E99-F8B4-3047-AB5D-B31A5B987A1E}" name="2032" dataDxfId="26"/>
    <tableColumn id="17" xr3:uid="{2F02A10E-43F5-9A40-87EE-D3ABF7E8F5C3}" name="2033" dataDxfId="25"/>
    <tableColumn id="18" xr3:uid="{8FB79274-3921-354C-942D-F7E58D171D11}" name="2034" dataDxfId="24"/>
    <tableColumn id="19" xr3:uid="{842A6BFA-E76E-DD49-AEC4-97A74E06745D}" name="2035" dataDxfId="23"/>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D08DFA0B-1099-7B42-A868-65853B6DE403}" name="Table49" displayName="Table49" ref="B3:E38" totalsRowShown="0" tableBorderDxfId="22">
  <autoFilter ref="B3:E38" xr:uid="{D08DFA0B-1099-7B42-A868-65853B6DE403}">
    <filterColumn colId="0" hiddenButton="1"/>
    <filterColumn colId="1" hiddenButton="1"/>
    <filterColumn colId="2" hiddenButton="1"/>
    <filterColumn colId="3" hiddenButton="1"/>
  </autoFilter>
  <tableColumns count="4">
    <tableColumn id="1" xr3:uid="{51222D4B-772E-F644-B0AE-B9910178A79A}" name="Commercial Operation Date"/>
    <tableColumn id="2" xr3:uid="{E7048413-7DFD-CB44-8B0A-5CD8B9FD0D71}" name="Project name"/>
    <tableColumn id="3" xr3:uid="{13ED1FAE-37CB-494E-B659-20CF53528F02}" name="Country"/>
    <tableColumn id="4" xr3:uid="{8B4926C8-B125-294B-BDFB-A4DF975B3E39}" name="Adjusted Price (2021USD/MWh)"/>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255EFB0-AD1D-364E-9286-35B6910D73FA}" name="Table18" displayName="Table18" ref="B3:T9" totalsRowShown="0" headerRowDxfId="21" dataDxfId="20" tableBorderDxfId="19">
  <autoFilter ref="B3:T9" xr:uid="{B4C01D87-D7B5-7E48-9D42-6CAF2B9841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256955F2-0614-3441-8874-70F91C69CF61}" name="Source" dataDxfId="18"/>
    <tableColumn id="3" xr3:uid="{A448C91C-2573-2546-83B2-04646F7E6E1F}" name="Category" dataDxfId="17"/>
    <tableColumn id="4" xr3:uid="{8C2712D8-60F2-2843-9F08-9CF0827F9BA0}" name="2020" dataDxfId="16"/>
    <tableColumn id="5" xr3:uid="{040CD64D-602C-0C4D-AFCD-5040D5AFB1EF}" name="2021" dataDxfId="15"/>
    <tableColumn id="6" xr3:uid="{CCD0EAC0-5908-6146-9866-A47850666FA8}" name="2022" dataDxfId="14"/>
    <tableColumn id="7" xr3:uid="{AB347D2B-C079-6241-9A6D-5E572128EF47}" name="2023" dataDxfId="13"/>
    <tableColumn id="8" xr3:uid="{89A6B329-C69A-EF4E-8394-44942F9E4C8F}" name="2024" dataDxfId="12"/>
    <tableColumn id="9" xr3:uid="{F5313695-A40D-5447-8DF3-65CB28E5ED8A}" name="2025" dataDxfId="11"/>
    <tableColumn id="10" xr3:uid="{582E941F-BCDB-BE4A-801B-811551CE577B}" name="2026" dataDxfId="10"/>
    <tableColumn id="11" xr3:uid="{1A47D1E2-E30F-644A-BB83-B39CD1CBCD36}" name="2027" dataDxfId="9"/>
    <tableColumn id="12" xr3:uid="{3B88326D-1344-1543-A913-125B88ABE3E1}" name="2028" dataDxfId="8"/>
    <tableColumn id="13" xr3:uid="{F1BD2659-E12B-954A-A14A-697C500978C5}" name="2029" dataDxfId="7"/>
    <tableColumn id="14" xr3:uid="{E09ADCF3-3F29-C94B-A35D-CF9221971E3A}" name="2030" dataDxfId="6"/>
    <tableColumn id="15" xr3:uid="{60D23C25-BA76-374A-912A-4C136E79BF17}" name="2031" dataDxfId="5"/>
    <tableColumn id="16" xr3:uid="{C39DE9C0-B106-1249-BA28-36608FF6189E}" name="2032" dataDxfId="4"/>
    <tableColumn id="17" xr3:uid="{7A1A2DF8-9607-3643-A401-EA5081BB2A8C}" name="2033" dataDxfId="3"/>
    <tableColumn id="18" xr3:uid="{57DAB965-B43E-4B4C-B544-2629228C6AC3}" name="2034" dataDxfId="2"/>
    <tableColumn id="19" xr3:uid="{3CEEDFD1-3F2E-FB4E-B129-7DB9817F270F}" name="2035" dataDxfId="1"/>
    <tableColumn id="20" xr3:uid="{6EF05A8B-5B14-2E4A-9CDA-64035991797B}" name="2036"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table" Target="../tables/table28.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492E9-498D-8348-88A0-04B2E7467BA6}">
  <dimension ref="A1:C44"/>
  <sheetViews>
    <sheetView workbookViewId="0">
      <selection activeCell="C3" sqref="C3:C44"/>
    </sheetView>
  </sheetViews>
  <sheetFormatPr baseColWidth="10" defaultRowHeight="16" x14ac:dyDescent="0.2"/>
  <cols>
    <col min="2" max="2" width="29.6640625" bestFit="1" customWidth="1"/>
  </cols>
  <sheetData>
    <row r="1" spans="1:3" x14ac:dyDescent="0.2">
      <c r="A1">
        <v>1</v>
      </c>
      <c r="B1" t="str" cm="1">
        <f t="array" ref="B1">INDEX(ListSheets,A1)</f>
        <v>Sheet Names</v>
      </c>
    </row>
    <row r="2" spans="1:3" x14ac:dyDescent="0.2">
      <c r="A2">
        <v>2</v>
      </c>
      <c r="B2" t="str" cm="1">
        <f t="array" ref="B2">INDEX(ListSheets,A2)</f>
        <v>Table of Contents</v>
      </c>
    </row>
    <row r="3" spans="1:3" x14ac:dyDescent="0.2">
      <c r="A3">
        <v>3</v>
      </c>
      <c r="B3" t="str" cm="1">
        <f t="array" ref="B3">INDEX(ListSheets,A3)</f>
        <v>T1, Pipeline Definition</v>
      </c>
      <c r="C3" t="str">
        <f>_xlfn.CONCAT("=HYPERLINK('",B3,"'!$B$1,'",B3,"'!$B$1)")</f>
        <v>=HYPERLINK('T1, Pipeline Definition'!$B$1,'T1, Pipeline Definition'!$B$1)</v>
      </c>
    </row>
    <row r="4" spans="1:3" x14ac:dyDescent="0.2">
      <c r="A4">
        <v>4</v>
      </c>
      <c r="B4" t="str" cm="1">
        <f t="array" ref="B4">INDEX(ListSheets,A4)</f>
        <v>T2, US Pipeline Definition</v>
      </c>
      <c r="C4" t="str">
        <f t="shared" ref="C4:C44" si="0">_xlfn.CONCAT("=HYPERLINK('",B4,"'!$B$1,'",B4,"'!$B$1)")</f>
        <v>=HYPERLINK('T2, US Pipeline Definition'!$B$1,'T2, US Pipeline Definition'!$B$1)</v>
      </c>
    </row>
    <row r="5" spans="1:3" x14ac:dyDescent="0.2">
      <c r="A5">
        <v>5</v>
      </c>
      <c r="B5" t="str" cm="1">
        <f t="array" ref="B5">INDEX(ListSheets,A5)</f>
        <v>F1-2, US State Pipeline</v>
      </c>
      <c r="C5" t="str">
        <f t="shared" si="0"/>
        <v>=HYPERLINK('F1-2, US State Pipeline'!$B$1,'F1-2, US State Pipeline'!$B$1)</v>
      </c>
    </row>
    <row r="6" spans="1:3" x14ac:dyDescent="0.2">
      <c r="A6">
        <v>6</v>
      </c>
      <c r="B6" t="str" cm="1">
        <f t="array" ref="B6">INDEX(ListSheets,A6)</f>
        <v>T3, US Pipeline, Part 1</v>
      </c>
      <c r="C6" t="str">
        <f t="shared" si="0"/>
        <v>=HYPERLINK('T3, US Pipeline, Part 1'!$B$1,'T3, US Pipeline, Part 1'!$B$1)</v>
      </c>
    </row>
    <row r="7" spans="1:3" x14ac:dyDescent="0.2">
      <c r="A7">
        <v>7</v>
      </c>
      <c r="B7" t="str" cm="1">
        <f t="array" ref="B7">INDEX(ListSheets,A7)</f>
        <v>T4, US Pipeline, Part 2</v>
      </c>
      <c r="C7" t="str">
        <f t="shared" si="0"/>
        <v>=HYPERLINK('T4, US Pipeline, Part 2'!$B$1,'T4, US Pipeline, Part 2'!$B$1)</v>
      </c>
    </row>
    <row r="8" spans="1:3" x14ac:dyDescent="0.2">
      <c r="A8">
        <v>8</v>
      </c>
      <c r="B8" t="str" cm="1">
        <f t="array" ref="B8">INDEX(ListSheets,A8)</f>
        <v>T5, US Pipeline, Part 3</v>
      </c>
      <c r="C8" t="str">
        <f t="shared" si="0"/>
        <v>=HYPERLINK('T5, US Pipeline, Part 3'!$B$1,'T5, US Pipeline, Part 3'!$B$1)</v>
      </c>
    </row>
    <row r="9" spans="1:3" x14ac:dyDescent="0.2">
      <c r="A9">
        <v>9</v>
      </c>
      <c r="B9" t="str" cm="1">
        <f t="array" ref="B9">INDEX(ListSheets,A9)</f>
        <v>F6, US Forecasts</v>
      </c>
      <c r="C9" t="str">
        <f t="shared" si="0"/>
        <v>=HYPERLINK('F6, US Forecasts'!$B$1,'F6, US Forecasts'!$B$1)</v>
      </c>
    </row>
    <row r="10" spans="1:3" x14ac:dyDescent="0.2">
      <c r="A10">
        <v>10</v>
      </c>
      <c r="B10" t="str" cm="1">
        <f t="array" ref="B10">INDEX(ListSheets,A10)</f>
        <v>T6, US Permitting Status</v>
      </c>
      <c r="C10" t="str">
        <f t="shared" si="0"/>
        <v>=HYPERLINK('T6, US Permitting Status'!$B$1,'T6, US Permitting Status'!$B$1)</v>
      </c>
    </row>
    <row r="11" spans="1:3" x14ac:dyDescent="0.2">
      <c r="A11">
        <v>11</v>
      </c>
      <c r="B11" t="str" cm="1">
        <f t="array" ref="B11">INDEX(ListSheets,A11)</f>
        <v>T7, NY Bight Lease Auctions</v>
      </c>
      <c r="C11" t="str">
        <f t="shared" si="0"/>
        <v>=HYPERLINK('T7, NY Bight Lease Auctions'!$B$1,'T7, NY Bight Lease Auctions'!$B$1)</v>
      </c>
    </row>
    <row r="12" spans="1:3" x14ac:dyDescent="0.2">
      <c r="A12">
        <v>12</v>
      </c>
      <c r="B12" t="str" cm="1">
        <f t="array" ref="B12">INDEX(ListSheets,A12)</f>
        <v>T8, CA Long Bay Lease Auctions</v>
      </c>
      <c r="C12" t="str">
        <f t="shared" si="0"/>
        <v>=HYPERLINK('T8, CA Long Bay Lease Auctions'!$B$1,'T8, CA Long Bay Lease Auctions'!$B$1)</v>
      </c>
    </row>
    <row r="13" spans="1:3" x14ac:dyDescent="0.2">
      <c r="A13">
        <v>13</v>
      </c>
      <c r="B13" t="str" cm="1">
        <f t="array" ref="B13">INDEX(ListSheets,A13)</f>
        <v>F10, US Lease Prices</v>
      </c>
      <c r="C13" t="str">
        <f t="shared" si="0"/>
        <v>=HYPERLINK('F10, US Lease Prices'!$B$1,'F10, US Lease Prices'!$B$1)</v>
      </c>
    </row>
    <row r="14" spans="1:3" x14ac:dyDescent="0.2">
      <c r="A14">
        <v>14</v>
      </c>
      <c r="B14" t="str" cm="1">
        <f t="array" ref="B14">INDEX(ListSheets,A14)</f>
        <v>T9, US Lease Prices</v>
      </c>
      <c r="C14" t="str">
        <f t="shared" si="0"/>
        <v>=HYPERLINK('T9, US Lease Prices'!$B$1,'T9, US Lease Prices'!$B$1)</v>
      </c>
    </row>
    <row r="15" spans="1:3" x14ac:dyDescent="0.2">
      <c r="A15">
        <v>15</v>
      </c>
      <c r="B15" t="str" cm="1">
        <f t="array" ref="B15">INDEX(ListSheets,A15)</f>
        <v>T10, US Call Areas</v>
      </c>
      <c r="C15" t="str">
        <f t="shared" si="0"/>
        <v>=HYPERLINK('T10, US Call Areas'!$B$1,'T10, US Call Areas'!$B$1)</v>
      </c>
    </row>
    <row r="16" spans="1:3" x14ac:dyDescent="0.2">
      <c r="A16">
        <v>16</v>
      </c>
      <c r="B16" t="str" cm="1">
        <f t="array" ref="B16">INDEX(ListSheets,A16)</f>
        <v>T11, US Offtake Agreements</v>
      </c>
      <c r="C16" t="str">
        <f t="shared" si="0"/>
        <v>=HYPERLINK('T11, US Offtake Agreements'!$B$1,'T11, US Offtake Agreements'!$B$1)</v>
      </c>
    </row>
    <row r="17" spans="1:3" x14ac:dyDescent="0.2">
      <c r="A17">
        <v>17</v>
      </c>
      <c r="B17" t="str" cm="1">
        <f t="array" ref="B17">INDEX(ListSheets,A17)</f>
        <v>T12, US Procurement Policies</v>
      </c>
      <c r="C17" t="str">
        <f t="shared" si="0"/>
        <v>=HYPERLINK('T12, US Procurement Policies'!$B$1,'T12, US Procurement Policies'!$B$1)</v>
      </c>
    </row>
    <row r="18" spans="1:3" x14ac:dyDescent="0.2">
      <c r="A18">
        <v>18</v>
      </c>
      <c r="B18" t="str" cm="1">
        <f t="array" ref="B18">INDEX(ListSheets,A18)</f>
        <v>T13, US Flagged Vessels</v>
      </c>
      <c r="C18" t="str">
        <f t="shared" si="0"/>
        <v>=HYPERLINK('T13, US Flagged Vessels'!$B$1,'T13, US Flagged Vessels'!$B$1)</v>
      </c>
    </row>
    <row r="19" spans="1:3" x14ac:dyDescent="0.2">
      <c r="A19">
        <v>19</v>
      </c>
      <c r="B19" t="str" cm="1">
        <f t="array" ref="B19">INDEX(ListSheets,A19)</f>
        <v>T14, Foreign Flagged Vessels</v>
      </c>
      <c r="C19" t="str">
        <f t="shared" si="0"/>
        <v>=HYPERLINK('T14, Foreign Flagged Vessels'!$B$1,'T14, Foreign Flagged Vessels'!$B$1)</v>
      </c>
    </row>
    <row r="20" spans="1:3" x14ac:dyDescent="0.2">
      <c r="A20">
        <v>20</v>
      </c>
      <c r="B20" t="str" cm="1">
        <f t="array" ref="B20">INDEX(ListSheets,A20)</f>
        <v>T15, Port Infrastructure</v>
      </c>
      <c r="C20" t="str">
        <f t="shared" si="0"/>
        <v>=HYPERLINK('T15, Port Infrastructure'!$B$1,'T15, Port Infrastructure'!$B$1)</v>
      </c>
    </row>
    <row r="21" spans="1:3" x14ac:dyDescent="0.2">
      <c r="A21">
        <v>21</v>
      </c>
      <c r="B21" t="str" cm="1">
        <f t="array" ref="B21">INDEX(ListSheets,A21)</f>
        <v>T16, Supply Chain Announcements</v>
      </c>
      <c r="C21" t="str">
        <f t="shared" si="0"/>
        <v>=HYPERLINK('T16, Supply Chain Announcements'!$B$1,'T16, Supply Chain Announcements'!$B$1)</v>
      </c>
    </row>
    <row r="22" spans="1:3" x14ac:dyDescent="0.2">
      <c r="A22">
        <v>22</v>
      </c>
      <c r="B22" t="str" cm="1">
        <f t="array" ref="B22">INDEX(ListSheets,A22)</f>
        <v>F17-18, Global Annual Additions</v>
      </c>
      <c r="C22" t="str">
        <f t="shared" si="0"/>
        <v>=HYPERLINK('F17-18, Global Annual Additions'!$B$1,'F17-18, Global Annual Additions'!$B$1)</v>
      </c>
    </row>
    <row r="23" spans="1:3" x14ac:dyDescent="0.2">
      <c r="A23">
        <v>23</v>
      </c>
      <c r="B23" t="str" cm="1">
        <f t="array" ref="B23">INDEX(ListSheets,A23)</f>
        <v>F18,20, Installed and Const.</v>
      </c>
      <c r="C23" t="str">
        <f t="shared" si="0"/>
        <v>=HYPERLINK('F18,20, Installed and Const.'!$B$1,'F18,20, Installed and Const.'!$B$1)</v>
      </c>
    </row>
    <row r="24" spans="1:3" x14ac:dyDescent="0.2">
      <c r="A24">
        <v>24</v>
      </c>
      <c r="B24" t="str" cm="1">
        <f t="array" ref="B24">INDEX(ListSheets,A24)</f>
        <v>F19,23, Global Cumulative</v>
      </c>
      <c r="C24" t="str">
        <f t="shared" si="0"/>
        <v>=HYPERLINK('F19,23, Global Cumulative'!$B$1,'F19,23, Global Cumulative'!$B$1)</v>
      </c>
    </row>
    <row r="25" spans="1:3" x14ac:dyDescent="0.2">
      <c r="A25">
        <v>25</v>
      </c>
      <c r="B25" t="str" cm="1">
        <f t="array" ref="B25">INDEX(ListSheets,A25)</f>
        <v>F22, Developer Announced</v>
      </c>
      <c r="C25" t="str">
        <f t="shared" si="0"/>
        <v>=HYPERLINK('F22, Developer Announced'!$B$1,'F22, Developer Announced'!$B$1)</v>
      </c>
    </row>
    <row r="26" spans="1:3" x14ac:dyDescent="0.2">
      <c r="A26">
        <v>26</v>
      </c>
      <c r="B26" t="str" cm="1">
        <f t="array" ref="B26">INDEX(ListSheets,A26)</f>
        <v>F24, Global Floating Cumulative</v>
      </c>
      <c r="C26" t="str">
        <f t="shared" si="0"/>
        <v>=HYPERLINK('F24, Global Floating Cumulative'!$B$1,'F24, Global Floating Cumulative'!$B$1)</v>
      </c>
    </row>
    <row r="27" spans="1:3" x14ac:dyDescent="0.2">
      <c r="A27">
        <v>27</v>
      </c>
      <c r="B27" t="str" cm="1">
        <f t="array" ref="B27">INDEX(ListSheets,A27)</f>
        <v>F25, Global Regional</v>
      </c>
      <c r="C27" t="str">
        <f t="shared" si="0"/>
        <v>=HYPERLINK('F25, Global Regional'!$B$1,'F25, Global Regional'!$B$1)</v>
      </c>
    </row>
    <row r="28" spans="1:3" x14ac:dyDescent="0.2">
      <c r="A28">
        <v>28</v>
      </c>
      <c r="B28" t="str" cm="1">
        <f t="array" ref="B28">INDEX(ListSheets,A28)</f>
        <v>F26, Global Floating Regional</v>
      </c>
      <c r="C28" t="str">
        <f t="shared" si="0"/>
        <v>=HYPERLINK('F26, Global Floating Regional'!$B$1,'F26, Global Floating Regional'!$B$1)</v>
      </c>
    </row>
    <row r="29" spans="1:3" x14ac:dyDescent="0.2">
      <c r="A29">
        <v>29</v>
      </c>
      <c r="B29" t="str" cm="1">
        <f t="array" ref="B29">INDEX(ListSheets,A29)</f>
        <v>T17, Global Floating Pipeline</v>
      </c>
      <c r="C29" t="str">
        <f t="shared" si="0"/>
        <v>=HYPERLINK('T17, Global Floating Pipeline'!$B$1,'T17, Global Floating Pipeline'!$B$1)</v>
      </c>
    </row>
    <row r="30" spans="1:3" x14ac:dyDescent="0.2">
      <c r="A30">
        <v>30</v>
      </c>
      <c r="B30" t="str" cm="1">
        <f t="array" ref="B30">INDEX(ListSheets,A30)</f>
        <v>F27, Global Forecasts</v>
      </c>
      <c r="C30" t="str">
        <f t="shared" si="0"/>
        <v>=HYPERLINK('F27, Global Forecasts'!$B$1,'F27, Global Forecasts'!$B$1)</v>
      </c>
    </row>
    <row r="31" spans="1:3" x14ac:dyDescent="0.2">
      <c r="A31">
        <v>31</v>
      </c>
      <c r="B31" t="str" cm="1">
        <f t="array" ref="B31">INDEX(ListSheets,A31)</f>
        <v>F28, Floating Projections</v>
      </c>
      <c r="C31" t="str">
        <f t="shared" si="0"/>
        <v>=HYPERLINK('F28, Floating Projections'!$B$1,'F28, Floating Projections'!$B$1)</v>
      </c>
    </row>
    <row r="32" spans="1:3" x14ac:dyDescent="0.2">
      <c r="A32">
        <v>32</v>
      </c>
      <c r="B32" t="str" cm="1">
        <f t="array" ref="B32">INDEX(ListSheets,A32)</f>
        <v>T18, Europe Activities Targets</v>
      </c>
      <c r="C32" t="str">
        <f t="shared" si="0"/>
        <v>=HYPERLINK('T18, Europe Activities Targets'!$B$1,'T18, Europe Activities Targets'!$B$1)</v>
      </c>
    </row>
    <row r="33" spans="1:3" x14ac:dyDescent="0.2">
      <c r="A33">
        <v>33</v>
      </c>
      <c r="B33" t="str" cm="1">
        <f t="array" ref="B33">INDEX(ListSheets,A33)</f>
        <v>T19, Asian Activities Targets</v>
      </c>
      <c r="C33" t="str">
        <f t="shared" si="0"/>
        <v>=HYPERLINK('T19, Asian Activities Targets'!$B$1,'T19, Asian Activities Targets'!$B$1)</v>
      </c>
    </row>
    <row r="34" spans="1:3" x14ac:dyDescent="0.2">
      <c r="A34">
        <v>34</v>
      </c>
      <c r="B34" t="str" cm="1">
        <f t="array" ref="B34">INDEX(ListSheets,A34)</f>
        <v>F30-31, Depth and Dist to Shore</v>
      </c>
      <c r="C34" t="str">
        <f t="shared" si="0"/>
        <v>=HYPERLINK('F30-31, Depth and Dist to Shore'!$B$1,'F30-31, Depth and Dist to Shore'!$B$1)</v>
      </c>
    </row>
    <row r="35" spans="1:3" x14ac:dyDescent="0.2">
      <c r="A35">
        <v>35</v>
      </c>
      <c r="B35" t="str" cm="1">
        <f t="array" ref="B35">INDEX(ListSheets,A35)</f>
        <v>F32-34, Sub. Market Share</v>
      </c>
      <c r="C35" t="str">
        <f t="shared" si="0"/>
        <v>=HYPERLINK('F32-34, Sub. Market Share'!$B$1,'F32-34, Sub. Market Share'!$B$1)</v>
      </c>
    </row>
    <row r="36" spans="1:3" x14ac:dyDescent="0.2">
      <c r="A36">
        <v>36</v>
      </c>
      <c r="B36" t="str" cm="1">
        <f t="array" ref="B36">INDEX(ListSheets,A36)</f>
        <v>F35-36, Global Turbine Trends</v>
      </c>
      <c r="C36" t="str">
        <f t="shared" si="0"/>
        <v>=HYPERLINK('F35-36, Global Turbine Trends'!$B$1,'F35-36, Global Turbine Trends'!$B$1)</v>
      </c>
    </row>
    <row r="37" spans="1:3" x14ac:dyDescent="0.2">
      <c r="A37">
        <v>37</v>
      </c>
      <c r="B37" t="str" cm="1">
        <f t="array" ref="B37">INDEX(ListSheets,A37)</f>
        <v>F37-38, OEM Market Share</v>
      </c>
      <c r="C37" t="str">
        <f t="shared" si="0"/>
        <v>=HYPERLINK('F37-38, OEM Market Share'!$B$1,'F37-38, OEM Market Share'!$B$1)</v>
      </c>
    </row>
    <row r="38" spans="1:3" x14ac:dyDescent="0.2">
      <c r="A38">
        <v>38</v>
      </c>
      <c r="B38" t="str" cm="1">
        <f t="array" ref="B38">INDEX(ListSheets,A38)</f>
        <v>F39, Fixed LCOE Projections</v>
      </c>
      <c r="C38" t="str">
        <f t="shared" si="0"/>
        <v>=HYPERLINK('F39, Fixed LCOE Projections'!$B$1,'F39, Fixed LCOE Projections'!$B$1)</v>
      </c>
    </row>
    <row r="39" spans="1:3" x14ac:dyDescent="0.2">
      <c r="A39">
        <v>39</v>
      </c>
      <c r="B39" t="str" cm="1">
        <f t="array" ref="B39">INDEX(ListSheets,A39)</f>
        <v>T21, Dominion Costs</v>
      </c>
      <c r="C39" t="str">
        <f t="shared" si="0"/>
        <v>=HYPERLINK('T21, Dominion Costs'!$B$1,'T21, Dominion Costs'!$B$1)</v>
      </c>
    </row>
    <row r="40" spans="1:3" x14ac:dyDescent="0.2">
      <c r="A40">
        <v>40</v>
      </c>
      <c r="B40" t="str" cm="1">
        <f t="array" ref="B40">INDEX(ListSheets,A40)</f>
        <v>F40 Project CapEx</v>
      </c>
      <c r="C40" t="str">
        <f t="shared" si="0"/>
        <v>=HYPERLINK('F40 Project CapEx'!$B$1,'F40 Project CapEx'!$B$1)</v>
      </c>
    </row>
    <row r="41" spans="1:3" x14ac:dyDescent="0.2">
      <c r="A41">
        <v>41</v>
      </c>
      <c r="B41" t="str" cm="1">
        <f t="array" ref="B41">INDEX(ListSheets,A41)</f>
        <v>F41, Relative Lease Costs</v>
      </c>
      <c r="C41" t="str">
        <f t="shared" si="0"/>
        <v>=HYPERLINK('F41, Relative Lease Costs'!$B$1,'F41, Relative Lease Costs'!$B$1)</v>
      </c>
    </row>
    <row r="42" spans="1:3" x14ac:dyDescent="0.2">
      <c r="A42">
        <v>42</v>
      </c>
      <c r="B42" t="str" cm="1">
        <f t="array" ref="B42">INDEX(ListSheets,A42)</f>
        <v>F42, OpEx Projections</v>
      </c>
      <c r="C42" t="str">
        <f t="shared" si="0"/>
        <v>=HYPERLINK('F42, OpEx Projections'!$B$1,'F42, OpEx Projections'!$B$1)</v>
      </c>
    </row>
    <row r="43" spans="1:3" x14ac:dyDescent="0.2">
      <c r="A43">
        <v>43</v>
      </c>
      <c r="B43" t="str" cm="1">
        <f t="array" ref="B43">INDEX(ListSheets,A43)</f>
        <v>F43, Global Strike Prices</v>
      </c>
      <c r="C43" t="str">
        <f t="shared" si="0"/>
        <v>=HYPERLINK('F43, Global Strike Prices'!$B$1,'F43, Global Strike Prices'!$B$1)</v>
      </c>
    </row>
    <row r="44" spans="1:3" x14ac:dyDescent="0.2">
      <c r="A44">
        <v>44</v>
      </c>
      <c r="B44" t="str" cm="1">
        <f t="array" ref="B44">INDEX(ListSheets,A44)</f>
        <v>F44, Floating LCOE</v>
      </c>
      <c r="C44" t="str">
        <f t="shared" si="0"/>
        <v>=HYPERLINK('F44, Floating LCOE'!$B$1,'F44, Floating LCOE'!$B$1)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55"/>
  <sheetViews>
    <sheetView tabSelected="1" workbookViewId="0">
      <selection activeCell="A2" sqref="A2"/>
    </sheetView>
  </sheetViews>
  <sheetFormatPr baseColWidth="10" defaultColWidth="8.83203125" defaultRowHeight="16" x14ac:dyDescent="0.2"/>
  <cols>
    <col min="1" max="1" width="100.1640625" customWidth="1"/>
    <col min="2" max="2" width="9.83203125" bestFit="1" customWidth="1"/>
  </cols>
  <sheetData>
    <row r="2" spans="1:1" ht="24" x14ac:dyDescent="0.3">
      <c r="A2" s="8" t="s">
        <v>817</v>
      </c>
    </row>
    <row r="4" spans="1:1" ht="24" x14ac:dyDescent="0.3">
      <c r="A4" s="8" t="s">
        <v>93</v>
      </c>
    </row>
    <row r="5" spans="1:1" x14ac:dyDescent="0.2">
      <c r="A5" s="13" t="str">
        <f>HYPERLINK('T1, Pipeline Definition'!$B$1,'T1, Pipeline Definition'!$B$1)</f>
        <v>Table 1: Offshore Wind Project Pipeline Classification Criteria</v>
      </c>
    </row>
    <row r="6" spans="1:1" x14ac:dyDescent="0.2">
      <c r="A6" s="13" t="str">
        <f>HYPERLINK('T2, US Pipeline Definition'!$B$1,'T2, US Pipeline Definition'!$B$1)</f>
        <v>Table 2: U.S. Offshore Wind Energy Pipeline Categories</v>
      </c>
    </row>
    <row r="7" spans="1:1" x14ac:dyDescent="0.2">
      <c r="A7" s="13" t="str">
        <f>HYPERLINK('F1-2, US State Pipeline'!$B$1,'F1-2, US State Pipeline'!$B$1)</f>
        <v>Figures 1-2: US Pipeline by State and Status (MW)</v>
      </c>
    </row>
    <row r="8" spans="1:1" x14ac:dyDescent="0.2">
      <c r="A8" s="13" t="str">
        <f>HYPERLINK('T3, US Pipeline, Part 1'!$B$1,'T3, US Pipeline, Part 1'!$B$1)</f>
        <v>Table 3: U.S. Offshore Wind Energy Pipeline (North Atlantic and Great Lakes)</v>
      </c>
    </row>
    <row r="9" spans="1:1" x14ac:dyDescent="0.2">
      <c r="A9" s="13" t="str">
        <f>HYPERLINK('T4, US Pipeline, Part 2'!$B$1,'T4, US Pipeline, Part 2'!$B$1)</f>
        <v>Table 4: U.S. Offshore Wind Pipeline (South Atlantic and Gulf of Mexico)</v>
      </c>
    </row>
    <row r="10" spans="1:1" x14ac:dyDescent="0.2">
      <c r="A10" s="13" t="str">
        <f>HYPERLINK('T5, US Pipeline, Part 3'!$B$1,'T5, US Pipeline, Part 3'!$B$1)</f>
        <v xml:space="preserve">Table 5: U.S. Offshore Wind Pipeline (West Coast and Hawaii) </v>
      </c>
    </row>
    <row r="11" spans="1:1" x14ac:dyDescent="0.2">
      <c r="A11" s="13" t="str">
        <f>HYPERLINK('F6, US Forecasts'!$B$1,'F6, US Forecasts'!$B$1)</f>
        <v>Figure 6: Industry offshore wind U.S. deployment projections to 2031</v>
      </c>
    </row>
    <row r="12" spans="1:1" x14ac:dyDescent="0.2">
      <c r="A12" s="13" t="str">
        <f>HYPERLINK('T6, US Permitting Status'!$B$1,'T6, US Permitting Status'!$B$1)</f>
        <v>Table 6: U.S. Federal Offshore Permitting Status Summary As of May 31, 2022</v>
      </c>
    </row>
    <row r="13" spans="1:1" x14ac:dyDescent="0.2">
      <c r="A13" s="13" t="str">
        <f>HYPERLINK('T7, NY Bight Lease Auctions'!$B$1,'T7, NY Bight Lease Auctions'!$B$1)</f>
        <v>Table 7: New York Bight Lease Area Auction Results</v>
      </c>
    </row>
    <row r="14" spans="1:1" x14ac:dyDescent="0.2">
      <c r="A14" s="13" t="str">
        <f>HYPERLINK('T8, CA Long Bay Lease Auctions'!$B$1,'T8, CA Long Bay Lease Auctions'!$B$1)</f>
        <v>Table 8: Carolina Long Bay Lease Area Auction Results</v>
      </c>
    </row>
    <row r="15" spans="1:1" x14ac:dyDescent="0.2">
      <c r="A15" s="13" t="str">
        <f>HYPERLINK('F10, US Lease Prices'!$B$1,'F10, US Lease Prices'!$B$1)</f>
        <v>Figure 10: U.S. offshore wind lease price per square kilometer by year leased</v>
      </c>
    </row>
    <row r="16" spans="1:1" x14ac:dyDescent="0.2">
      <c r="A16" s="13" t="str">
        <f>HYPERLINK('T9, US Lease Prices'!$B$1,'T9, US Lease Prices'!$B$1)</f>
        <v>Table 9: U.S. Offshore Wind Lease Prices (in Order Sold)</v>
      </c>
    </row>
    <row r="17" spans="1:1" x14ac:dyDescent="0.2">
      <c r="A17" s="13" t="str">
        <f>HYPERLINK('T10, US Call Areas'!$B$1,'T10, US Call Areas'!$B$1)</f>
        <v>Table 10: Call Areas As of May 31, 2022</v>
      </c>
    </row>
    <row r="18" spans="1:1" x14ac:dyDescent="0.2">
      <c r="A18" s="13" t="str">
        <f>HYPERLINK('T11, US Offtake Agreements'!$B$1,'T11, US Offtake Agreements'!$B$1)</f>
        <v>Table 11: U.S. Offshore Wind Offtake Agreements as of May 31, 2022</v>
      </c>
    </row>
    <row r="19" spans="1:1" x14ac:dyDescent="0.2">
      <c r="A19" s="13" t="str">
        <f>HYPERLINK('T12, US Procurement Policies'!$B$1,'T12, US Procurement Policies'!$B$1)</f>
        <v>Table 12: Current U.S. Offshore Wind Procurement Policies as of May 31, 2022</v>
      </c>
    </row>
    <row r="20" spans="1:1" x14ac:dyDescent="0.2">
      <c r="A20" s="13" t="str">
        <f>HYPERLINK('T13, US Flagged Vessels'!$B$1,'T13, US Flagged Vessels'!$B$1)</f>
        <v>Table 13: U.S.-Flagged Vessels to Serve Offshore Wind Industry</v>
      </c>
    </row>
    <row r="21" spans="1:1" x14ac:dyDescent="0.2">
      <c r="A21" s="13" t="str">
        <f>HYPERLINK('T14, Foreign Flagged Vessels'!$B$1,'T14, Foreign Flagged Vessels'!$B$1)</f>
        <v>Table 14: Foreign-Flagged Vessels with US contracts</v>
      </c>
    </row>
    <row r="22" spans="1:1" x14ac:dyDescent="0.2">
      <c r="A22" s="13" t="str">
        <f>HYPERLINK('T15, Port Infrastructure'!$B$1,'T15, Port Infrastructure'!$B$1)</f>
        <v>Table 15: Port Infrastructure Investments to Support Offshore Wind Energy</v>
      </c>
    </row>
    <row r="23" spans="1:1" x14ac:dyDescent="0.2">
      <c r="A23" s="13" t="str">
        <f>HYPERLINK('T16, Supply Chain Announcements'!$B$1,'T16, Supply Chain Announcements'!$B$1)</f>
        <v>Table 16: Major Supply Chain Announcements in the United States through May 31, 2022</v>
      </c>
    </row>
    <row r="24" spans="1:1" x14ac:dyDescent="0.2">
      <c r="A24" s="13" t="str">
        <f>HYPERLINK('F17-18, Global Annual Additions'!$B$1,'F17-18, Global Annual Additions'!$B$1)</f>
        <v>Figures 10-11: Global Annual Offshore Wind Additions (MW)</v>
      </c>
    </row>
    <row r="25" spans="1:1" x14ac:dyDescent="0.2">
      <c r="A25" s="13" t="str">
        <f>HYPERLINK('F18,20, Installed and Const.'!$B$1,'F18,20, Installed and Const.'!$B$1)</f>
        <v>Figures 18, 20: Installed and Under Construction Capacity (MW)</v>
      </c>
    </row>
    <row r="26" spans="1:1" x14ac:dyDescent="0.2">
      <c r="A26" s="13" t="str">
        <f>HYPERLINK('F19,23, Global Cumulative'!$B$1,'F19,23, Global Cumulative'!$B$1)</f>
        <v>Figures 19-23: Announced Cumulative Capacity (MW)</v>
      </c>
    </row>
    <row r="27" spans="1:1" x14ac:dyDescent="0.2">
      <c r="A27" s="13" t="str">
        <f>HYPERLINK('F22, Developer Announced'!$B$1,'F22, Developer Announced'!$B$1)</f>
        <v>Figure 22: Developer-Announced Offshore Wind Capacity Through 2027 for Projects with Financial Closure</v>
      </c>
    </row>
    <row r="28" spans="1:1" x14ac:dyDescent="0.2">
      <c r="A28" s="13" t="str">
        <f>HYPERLINK('F24, Global Floating Cumulative'!$B$1,'F24, Global Floating Cumulative'!$B$1)</f>
        <v>Figures 24: Cumulative Floating Offshore Wind Capacity by Country Based on Announced COD through 2027</v>
      </c>
    </row>
    <row r="29" spans="1:1" x14ac:dyDescent="0.2">
      <c r="A29" s="13" t="str">
        <f>HYPERLINK('F25, Global Regional'!$B$1,'F25, Global Regional'!$B$1)</f>
        <v>Figure 25: Total Global Pipeline by Regulatory Status and Region</v>
      </c>
    </row>
    <row r="30" spans="1:1" x14ac:dyDescent="0.2">
      <c r="A30" s="13" t="str">
        <f>HYPERLINK('F26, Global Floating Regional'!$B$1,'F26, Global Floating Regional'!$B$1)</f>
        <v>Figure 26: Total Global Floating Pipeline by Regulatory Status and Region</v>
      </c>
    </row>
    <row r="31" spans="1:1" x14ac:dyDescent="0.2">
      <c r="A31" s="13" t="str">
        <f>HYPERLINK('T17, Global Floating Pipeline'!$B$1,'T17, Global Floating Pipeline'!$B$1)</f>
        <v>Table 17: Global Floating Offshore Wind Energy Pipeline</v>
      </c>
    </row>
    <row r="32" spans="1:1" x14ac:dyDescent="0.2">
      <c r="A32" s="13" t="str">
        <f>HYPERLINK('F27, Global Forecasts'!$B$1,'F27, Global Forecasts'!$B$1)</f>
        <v>Figure 27: Global Forecast (MW)</v>
      </c>
    </row>
    <row r="33" spans="1:1" x14ac:dyDescent="0.2">
      <c r="A33" s="13" t="str">
        <f>HYPERLINK('F28, Floating Projections'!$B$1,'F28, Floating Projections'!$B$1)</f>
        <v>Figure 28: Long-Term Cumulative Floating Offshore Wind Deployment Projections</v>
      </c>
    </row>
    <row r="34" spans="1:1" x14ac:dyDescent="0.2">
      <c r="A34" s="13" t="str">
        <f>HYPERLINK('T18, Europe Activities Targets'!$B$1,'T18, Europe Activities Targets'!$B$1)</f>
        <v>Table 18: European Market Activities and National Targets</v>
      </c>
    </row>
    <row r="35" spans="1:1" x14ac:dyDescent="0.2">
      <c r="A35" s="13" t="str">
        <f>HYPERLINK('T19, Asian Activities Targets'!$B$1,'T19, Asian Activities Targets'!$B$1)</f>
        <v>Table 19: Asian Market Activities and National Targets</v>
      </c>
    </row>
    <row r="36" spans="1:1" x14ac:dyDescent="0.2">
      <c r="A36" s="13" t="str">
        <f>HYPERLINK('F30-31, Depth and Dist to Shore'!$B$1,'F30-31, Depth and Dist to Shore'!$B$1)</f>
        <v>Figures 30-31: Global Fixed-Bottom Turbine Water Depth (m) and Distance from Shore (km) Trends</v>
      </c>
    </row>
    <row r="37" spans="1:1" x14ac:dyDescent="0.2">
      <c r="A37" s="13" t="str">
        <f>HYPERLINK('F32-34, Sub. Market Share'!$B$1,'F32-34, Sub. Market Share'!$B$1)</f>
        <v>Figures 32-34: Offshore Wind Substructure Technology Trend for 2021 and Future Disclosed Pipeline</v>
      </c>
    </row>
    <row r="38" spans="1:1" x14ac:dyDescent="0.2">
      <c r="A38" s="13" t="str">
        <f>HYPERLINK('F35-36, Global Turbine Trends'!$B$1,'F35-36, Global Turbine Trends'!$B$1)</f>
        <v>Figure 35-36: Global Offshore Wind Turbine Rating, Hub Height, and Diameter</v>
      </c>
    </row>
    <row r="39" spans="1:1" x14ac:dyDescent="0.2">
      <c r="A39" s="13" t="str">
        <f>HYPERLINK('F37-38, OEM Market Share'!$B$1,'F37-38, OEM Market Share'!$B$1)</f>
        <v>Figures 37-38: Offshore Manufacturers by Market Share for 2021 and Future Disclosed Pipeline</v>
      </c>
    </row>
    <row r="40" spans="1:1" x14ac:dyDescent="0.2">
      <c r="A40" s="13" t="str">
        <f>HYPERLINK('F39, Fixed LCOE Projections'!$B$1,'F39, Fixed LCOE Projections'!$B$1)</f>
        <v>Figure 39: Fixed LCOE Estimates (USD2021/MWh)</v>
      </c>
    </row>
    <row r="41" spans="1:1" x14ac:dyDescent="0.2">
      <c r="A41" s="13" t="str">
        <f>HYPERLINK('T21, Dominion Costs'!$B$1,'T21, Dominion Costs'!$B$1)</f>
        <v>Table 21. Publicly Reported Costs for Dominion Offshore Wind Project</v>
      </c>
    </row>
    <row r="42" spans="1:1" x14ac:dyDescent="0.2">
      <c r="A42" s="13" t="str">
        <f>HYPERLINK('F40 Project CapEx'!$B$1,'F40 Project CapEx'!$B$1)</f>
        <v>Figure 40: Capital Expenditures for Global Offshore Wind Projects</v>
      </c>
    </row>
    <row r="43" spans="1:1" x14ac:dyDescent="0.2">
      <c r="A43" s="13" t="str">
        <f>HYPERLINK('F41, Relative Lease Costs'!$B$1,'F41, Relative Lease Costs'!$B$1)</f>
        <v>Figure 41: Relative Share of Lease Costs From Total CapEx of the Two Most Recent BOEM Lease Sales</v>
      </c>
    </row>
    <row r="44" spans="1:1" x14ac:dyDescent="0.2">
      <c r="A44" s="13" t="str">
        <f>HYPERLINK('F42, OpEx Projections'!$B$1,'F42, OpEx Projections'!$B$1)</f>
        <v>Figure 42: Operational Expenditures ($/kW)</v>
      </c>
    </row>
    <row r="45" spans="1:1" x14ac:dyDescent="0.2">
      <c r="A45" s="13" t="str">
        <f>HYPERLINK('F43, Global Strike Prices'!$B$1,'F43, Global Strike Prices'!$B$1)</f>
        <v>Figure 43: Adjusted Strike Prices From U.S. and European Offshore Wind Auctions</v>
      </c>
    </row>
    <row r="46" spans="1:1" x14ac:dyDescent="0.2">
      <c r="A46" s="13" t="str">
        <f>HYPERLINK('F44, Floating LCOE'!$B$1,'F44, Floating LCOE'!$B$1)</f>
        <v>Figure 44: Floating LCOE Estimates (USD2021/MWh)</v>
      </c>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647D2-B0A3-7247-8F1D-D51EA421A0A0}">
  <dimension ref="B1:F11"/>
  <sheetViews>
    <sheetView workbookViewId="0">
      <selection activeCell="C50" sqref="C50"/>
    </sheetView>
  </sheetViews>
  <sheetFormatPr baseColWidth="10" defaultRowHeight="16" x14ac:dyDescent="0.2"/>
  <cols>
    <col min="2" max="2" width="8.5" customWidth="1"/>
    <col min="3" max="3" width="37.83203125" bestFit="1" customWidth="1"/>
    <col min="4" max="4" width="85.33203125" customWidth="1"/>
    <col min="5" max="5" width="61.1640625" customWidth="1"/>
  </cols>
  <sheetData>
    <row r="1" spans="2:6" ht="24" x14ac:dyDescent="0.3">
      <c r="B1" s="8" t="s">
        <v>268</v>
      </c>
    </row>
    <row r="3" spans="2:6" x14ac:dyDescent="0.2">
      <c r="B3" s="6" t="s">
        <v>269</v>
      </c>
      <c r="C3" s="6" t="s">
        <v>270</v>
      </c>
      <c r="D3" s="6" t="s">
        <v>271</v>
      </c>
      <c r="E3" s="6" t="s">
        <v>278</v>
      </c>
    </row>
    <row r="4" spans="2:6" ht="51" x14ac:dyDescent="0.2">
      <c r="B4" s="6">
        <v>1</v>
      </c>
      <c r="C4" s="6" t="s">
        <v>26</v>
      </c>
      <c r="D4" s="59" t="s">
        <v>272</v>
      </c>
      <c r="E4" s="59" t="s">
        <v>279</v>
      </c>
      <c r="F4" s="2"/>
    </row>
    <row r="5" spans="2:6" ht="51" x14ac:dyDescent="0.2">
      <c r="B5" s="6">
        <v>2</v>
      </c>
      <c r="C5" s="6" t="s">
        <v>25</v>
      </c>
      <c r="D5" s="59" t="s">
        <v>273</v>
      </c>
      <c r="E5" s="59" t="s">
        <v>280</v>
      </c>
      <c r="F5" s="2"/>
    </row>
    <row r="6" spans="2:6" ht="34" x14ac:dyDescent="0.2">
      <c r="B6" s="6">
        <v>3</v>
      </c>
      <c r="C6" s="6" t="s">
        <v>290</v>
      </c>
      <c r="D6" s="59" t="s">
        <v>274</v>
      </c>
      <c r="E6" s="59" t="s">
        <v>281</v>
      </c>
      <c r="F6" s="2"/>
    </row>
    <row r="7" spans="2:6" ht="34" x14ac:dyDescent="0.2">
      <c r="B7" s="6">
        <v>4</v>
      </c>
      <c r="C7" s="6" t="s">
        <v>23</v>
      </c>
      <c r="D7" s="59" t="s">
        <v>275</v>
      </c>
      <c r="E7" s="59" t="s">
        <v>282</v>
      </c>
      <c r="F7" s="2"/>
    </row>
    <row r="8" spans="2:6" ht="34" x14ac:dyDescent="0.2">
      <c r="B8" s="6">
        <v>5</v>
      </c>
      <c r="C8" s="6" t="s">
        <v>22</v>
      </c>
      <c r="D8" s="59" t="s">
        <v>276</v>
      </c>
      <c r="E8" s="59" t="s">
        <v>283</v>
      </c>
      <c r="F8" s="2"/>
    </row>
    <row r="9" spans="2:6" ht="34" x14ac:dyDescent="0.2">
      <c r="B9" s="6">
        <v>6</v>
      </c>
      <c r="C9" s="6" t="s">
        <v>16</v>
      </c>
      <c r="D9" s="59" t="s">
        <v>277</v>
      </c>
      <c r="E9" s="59" t="s">
        <v>284</v>
      </c>
      <c r="F9" s="2"/>
    </row>
    <row r="10" spans="2:6" ht="34" x14ac:dyDescent="0.2">
      <c r="B10" s="6">
        <v>7</v>
      </c>
      <c r="C10" s="6" t="s">
        <v>100</v>
      </c>
      <c r="D10" s="59" t="s">
        <v>285</v>
      </c>
      <c r="E10" s="59" t="s">
        <v>286</v>
      </c>
      <c r="F10" s="2"/>
    </row>
    <row r="11" spans="2:6" ht="34" x14ac:dyDescent="0.2">
      <c r="B11" s="6">
        <v>8</v>
      </c>
      <c r="C11" s="6" t="s">
        <v>287</v>
      </c>
      <c r="D11" s="59" t="s">
        <v>288</v>
      </c>
      <c r="E11" s="59" t="s">
        <v>289</v>
      </c>
      <c r="F11" s="2"/>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2785-42C6-604D-A849-B84BA9BB25DC}">
  <dimension ref="B1:E10"/>
  <sheetViews>
    <sheetView workbookViewId="0">
      <selection activeCell="C10" sqref="C10"/>
    </sheetView>
  </sheetViews>
  <sheetFormatPr baseColWidth="10" defaultRowHeight="16" x14ac:dyDescent="0.2"/>
  <cols>
    <col min="2" max="2" width="25" customWidth="1"/>
    <col min="3" max="3" width="69.1640625" customWidth="1"/>
    <col min="4" max="4" width="11.1640625" bestFit="1" customWidth="1"/>
  </cols>
  <sheetData>
    <row r="1" spans="2:5" ht="24" x14ac:dyDescent="0.3">
      <c r="B1" s="8" t="s">
        <v>291</v>
      </c>
    </row>
    <row r="3" spans="2:5" x14ac:dyDescent="0.2">
      <c r="B3" s="6" t="s">
        <v>84</v>
      </c>
      <c r="C3" s="6" t="s">
        <v>253</v>
      </c>
      <c r="D3" s="6" t="s">
        <v>80</v>
      </c>
    </row>
    <row r="4" spans="2:5" ht="34" x14ac:dyDescent="0.2">
      <c r="B4" s="6" t="s">
        <v>100</v>
      </c>
      <c r="C4" s="59" t="s">
        <v>254</v>
      </c>
      <c r="D4" s="59" t="s">
        <v>255</v>
      </c>
      <c r="E4" s="2"/>
    </row>
    <row r="5" spans="2:5" ht="34" x14ac:dyDescent="0.2">
      <c r="B5" s="6" t="s">
        <v>16</v>
      </c>
      <c r="C5" s="59" t="s">
        <v>256</v>
      </c>
      <c r="D5" s="59" t="s">
        <v>257</v>
      </c>
      <c r="E5" s="2"/>
    </row>
    <row r="6" spans="2:5" ht="34" x14ac:dyDescent="0.2">
      <c r="B6" s="6" t="s">
        <v>22</v>
      </c>
      <c r="C6" s="59" t="s">
        <v>258</v>
      </c>
      <c r="D6" s="59" t="s">
        <v>259</v>
      </c>
      <c r="E6" s="2"/>
    </row>
    <row r="7" spans="2:5" ht="51" x14ac:dyDescent="0.2">
      <c r="B7" s="6" t="s">
        <v>23</v>
      </c>
      <c r="C7" s="59" t="s">
        <v>260</v>
      </c>
      <c r="D7" s="59" t="s">
        <v>259</v>
      </c>
      <c r="E7" s="2"/>
    </row>
    <row r="8" spans="2:5" ht="51" x14ac:dyDescent="0.2">
      <c r="B8" s="6" t="s">
        <v>24</v>
      </c>
      <c r="C8" s="59" t="s">
        <v>261</v>
      </c>
      <c r="D8" s="59" t="s">
        <v>262</v>
      </c>
      <c r="E8" s="2"/>
    </row>
    <row r="9" spans="2:5" ht="34" x14ac:dyDescent="0.2">
      <c r="B9" s="6" t="s">
        <v>25</v>
      </c>
      <c r="C9" s="59" t="s">
        <v>263</v>
      </c>
      <c r="D9" s="59" t="s">
        <v>264</v>
      </c>
      <c r="E9" s="2"/>
    </row>
    <row r="10" spans="2:5" ht="51" x14ac:dyDescent="0.2">
      <c r="B10" s="6" t="s">
        <v>265</v>
      </c>
      <c r="C10" s="59" t="s">
        <v>267</v>
      </c>
      <c r="D10" s="59" t="s">
        <v>266</v>
      </c>
      <c r="E10" s="2"/>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14"/>
  <sheetViews>
    <sheetView workbookViewId="0">
      <selection activeCell="K14" sqref="K14"/>
    </sheetView>
  </sheetViews>
  <sheetFormatPr baseColWidth="10" defaultColWidth="11" defaultRowHeight="16" x14ac:dyDescent="0.2"/>
  <cols>
    <col min="2" max="2" width="21.33203125" style="3" customWidth="1"/>
    <col min="3" max="8" width="13.33203125" style="1" customWidth="1"/>
    <col min="9" max="9" width="15.6640625" style="1" customWidth="1"/>
    <col min="10" max="11" width="13.33203125" style="1" customWidth="1"/>
    <col min="12" max="12" width="15.33203125" style="1" customWidth="1"/>
    <col min="13" max="13" width="13.33203125" style="1" customWidth="1"/>
    <col min="14" max="14" width="14" style="1" customWidth="1"/>
    <col min="15" max="15" width="13.33203125" style="1" customWidth="1"/>
  </cols>
  <sheetData>
    <row r="1" spans="2:15" ht="24" x14ac:dyDescent="0.3">
      <c r="B1" s="7" t="s">
        <v>292</v>
      </c>
    </row>
    <row r="3" spans="2:15" s="2" customFormat="1" ht="34" customHeight="1" x14ac:dyDescent="0.2">
      <c r="B3" t="s">
        <v>28</v>
      </c>
      <c r="C3" t="s">
        <v>60</v>
      </c>
      <c r="D3" t="s">
        <v>62</v>
      </c>
      <c r="E3" t="s">
        <v>56</v>
      </c>
      <c r="F3" t="s">
        <v>51</v>
      </c>
      <c r="G3" t="s">
        <v>57</v>
      </c>
      <c r="H3" t="s">
        <v>52</v>
      </c>
      <c r="I3" t="s">
        <v>55</v>
      </c>
      <c r="J3" t="s">
        <v>54</v>
      </c>
      <c r="K3" t="s">
        <v>79</v>
      </c>
      <c r="L3" t="s">
        <v>59</v>
      </c>
      <c r="M3" t="s">
        <v>53</v>
      </c>
      <c r="N3" t="s">
        <v>58</v>
      </c>
      <c r="O3" s="61" t="s">
        <v>80</v>
      </c>
    </row>
    <row r="4" spans="2:15" x14ac:dyDescent="0.2">
      <c r="B4" t="s">
        <v>100</v>
      </c>
      <c r="C4">
        <v>0</v>
      </c>
      <c r="D4">
        <v>0</v>
      </c>
      <c r="E4">
        <v>0</v>
      </c>
      <c r="F4">
        <v>0</v>
      </c>
      <c r="G4">
        <v>0</v>
      </c>
      <c r="H4">
        <v>0</v>
      </c>
      <c r="I4">
        <v>0</v>
      </c>
      <c r="J4">
        <v>0</v>
      </c>
      <c r="K4">
        <v>0</v>
      </c>
      <c r="L4">
        <v>0</v>
      </c>
      <c r="M4">
        <v>30</v>
      </c>
      <c r="N4">
        <v>12</v>
      </c>
      <c r="O4" s="60">
        <v>42</v>
      </c>
    </row>
    <row r="5" spans="2:15" x14ac:dyDescent="0.2">
      <c r="B5" t="s">
        <v>16</v>
      </c>
      <c r="C5">
        <v>0</v>
      </c>
      <c r="D5">
        <v>0</v>
      </c>
      <c r="E5">
        <v>0</v>
      </c>
      <c r="F5">
        <v>0</v>
      </c>
      <c r="G5">
        <v>0</v>
      </c>
      <c r="H5">
        <v>800</v>
      </c>
      <c r="I5">
        <v>0</v>
      </c>
      <c r="J5">
        <v>132</v>
      </c>
      <c r="K5">
        <v>0</v>
      </c>
      <c r="L5">
        <v>0</v>
      </c>
      <c r="M5">
        <v>0</v>
      </c>
      <c r="N5">
        <v>0</v>
      </c>
      <c r="O5" s="60">
        <v>932</v>
      </c>
    </row>
    <row r="6" spans="2:15" x14ac:dyDescent="0.2">
      <c r="B6" t="s">
        <v>22</v>
      </c>
      <c r="C6">
        <v>0</v>
      </c>
      <c r="D6">
        <v>0</v>
      </c>
      <c r="E6">
        <v>0</v>
      </c>
      <c r="F6">
        <v>0</v>
      </c>
      <c r="G6">
        <v>0</v>
      </c>
      <c r="H6">
        <v>0</v>
      </c>
      <c r="I6">
        <v>0</v>
      </c>
      <c r="J6">
        <v>0</v>
      </c>
      <c r="K6">
        <v>0</v>
      </c>
      <c r="L6">
        <v>0</v>
      </c>
      <c r="M6">
        <v>0</v>
      </c>
      <c r="N6">
        <v>0</v>
      </c>
      <c r="O6" s="60">
        <v>0</v>
      </c>
    </row>
    <row r="7" spans="2:15" x14ac:dyDescent="0.2">
      <c r="B7" t="s">
        <v>23</v>
      </c>
      <c r="C7">
        <v>0</v>
      </c>
      <c r="D7">
        <v>0</v>
      </c>
      <c r="E7">
        <v>0</v>
      </c>
      <c r="F7">
        <v>0</v>
      </c>
      <c r="G7">
        <v>0</v>
      </c>
      <c r="H7">
        <v>0</v>
      </c>
      <c r="I7">
        <v>0</v>
      </c>
      <c r="J7">
        <v>0</v>
      </c>
      <c r="K7">
        <v>0</v>
      </c>
      <c r="L7">
        <v>0</v>
      </c>
      <c r="M7">
        <v>0</v>
      </c>
      <c r="N7">
        <v>0</v>
      </c>
      <c r="O7" s="60">
        <v>0</v>
      </c>
    </row>
    <row r="8" spans="2:15" x14ac:dyDescent="0.2">
      <c r="B8" t="s">
        <v>24</v>
      </c>
      <c r="C8">
        <v>0</v>
      </c>
      <c r="D8">
        <v>1104</v>
      </c>
      <c r="E8">
        <v>0</v>
      </c>
      <c r="F8">
        <v>12</v>
      </c>
      <c r="G8">
        <v>2022</v>
      </c>
      <c r="H8">
        <v>4146</v>
      </c>
      <c r="I8">
        <v>4758</v>
      </c>
      <c r="J8">
        <v>3000</v>
      </c>
      <c r="K8">
        <v>2500</v>
      </c>
      <c r="L8">
        <v>21</v>
      </c>
      <c r="M8">
        <v>400</v>
      </c>
      <c r="N8">
        <v>2640</v>
      </c>
      <c r="O8" s="60">
        <v>20603</v>
      </c>
    </row>
    <row r="9" spans="2:15" x14ac:dyDescent="0.2">
      <c r="B9" t="s">
        <v>25</v>
      </c>
      <c r="C9">
        <v>0</v>
      </c>
      <c r="D9">
        <v>0</v>
      </c>
      <c r="E9">
        <v>1000</v>
      </c>
      <c r="F9">
        <v>0</v>
      </c>
      <c r="G9">
        <v>0</v>
      </c>
      <c r="H9">
        <v>3607</v>
      </c>
      <c r="I9">
        <v>0</v>
      </c>
      <c r="J9">
        <v>8030</v>
      </c>
      <c r="K9">
        <v>1337</v>
      </c>
      <c r="L9">
        <v>0</v>
      </c>
      <c r="M9">
        <v>0</v>
      </c>
      <c r="N9">
        <v>0</v>
      </c>
      <c r="O9" s="60">
        <v>13974</v>
      </c>
    </row>
    <row r="10" spans="2:15" x14ac:dyDescent="0.2">
      <c r="B10" t="s">
        <v>26</v>
      </c>
      <c r="C10">
        <v>4532</v>
      </c>
      <c r="D10">
        <v>0</v>
      </c>
      <c r="E10">
        <v>0</v>
      </c>
      <c r="F10">
        <v>0</v>
      </c>
      <c r="G10">
        <v>0</v>
      </c>
      <c r="H10">
        <v>0</v>
      </c>
      <c r="I10">
        <v>0</v>
      </c>
      <c r="J10">
        <v>0</v>
      </c>
      <c r="K10">
        <v>0</v>
      </c>
      <c r="L10">
        <v>0</v>
      </c>
      <c r="M10">
        <v>0</v>
      </c>
      <c r="N10">
        <v>0</v>
      </c>
      <c r="O10" s="60">
        <v>4532</v>
      </c>
    </row>
    <row r="11" spans="2:15" x14ac:dyDescent="0.2">
      <c r="B11" t="s">
        <v>27</v>
      </c>
      <c r="C11">
        <v>4532</v>
      </c>
      <c r="D11">
        <v>1104</v>
      </c>
      <c r="E11">
        <v>1000</v>
      </c>
      <c r="F11">
        <v>12</v>
      </c>
      <c r="G11">
        <v>2022</v>
      </c>
      <c r="H11">
        <v>8553</v>
      </c>
      <c r="I11">
        <v>4758</v>
      </c>
      <c r="J11">
        <v>11162</v>
      </c>
      <c r="K11">
        <v>3837</v>
      </c>
      <c r="L11">
        <v>21</v>
      </c>
      <c r="M11">
        <v>430</v>
      </c>
      <c r="N11">
        <v>2652</v>
      </c>
      <c r="O11" s="60">
        <v>40083</v>
      </c>
    </row>
    <row r="14" spans="2:15" ht="48.75" customHeight="1" x14ac:dyDescent="0.2">
      <c r="B14" s="118" t="s">
        <v>82</v>
      </c>
      <c r="C14" s="118"/>
      <c r="D14" s="118"/>
      <c r="E14" s="118"/>
      <c r="F14" s="118"/>
      <c r="G14" s="118"/>
    </row>
  </sheetData>
  <mergeCells count="1">
    <mergeCell ref="B14:G14"/>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
  <sheetViews>
    <sheetView workbookViewId="0">
      <selection activeCell="H3" sqref="H3:M3"/>
    </sheetView>
  </sheetViews>
  <sheetFormatPr baseColWidth="10" defaultColWidth="8.83203125" defaultRowHeight="16" x14ac:dyDescent="0.2"/>
  <cols>
    <col min="2" max="2" width="20.33203125" customWidth="1"/>
    <col min="3" max="3" width="28.5" customWidth="1"/>
    <col min="4" max="4" width="26.33203125" customWidth="1"/>
    <col min="5" max="5" width="20.33203125" customWidth="1"/>
    <col min="6" max="6" width="17.83203125" bestFit="1" customWidth="1"/>
    <col min="7" max="7" width="19.83203125" bestFit="1" customWidth="1"/>
    <col min="8" max="8" width="33.6640625" bestFit="1" customWidth="1"/>
    <col min="9" max="9" width="13.5" bestFit="1" customWidth="1"/>
    <col min="10" max="10" width="17" bestFit="1" customWidth="1"/>
    <col min="11" max="11" width="15.1640625" bestFit="1" customWidth="1"/>
    <col min="12" max="12" width="16" bestFit="1" customWidth="1"/>
    <col min="13" max="13" width="13.5" bestFit="1" customWidth="1"/>
  </cols>
  <sheetData>
    <row r="1" spans="1:13" ht="24" x14ac:dyDescent="0.3">
      <c r="B1" s="8" t="s">
        <v>358</v>
      </c>
    </row>
    <row r="3" spans="1:13" ht="17" x14ac:dyDescent="0.2">
      <c r="B3" s="59" t="s">
        <v>170</v>
      </c>
      <c r="C3" s="59" t="s">
        <v>293</v>
      </c>
      <c r="D3" s="59" t="s">
        <v>103</v>
      </c>
      <c r="E3" s="59" t="s">
        <v>171</v>
      </c>
      <c r="F3" s="59" t="s">
        <v>172</v>
      </c>
      <c r="G3" s="59" t="s">
        <v>173</v>
      </c>
      <c r="H3" s="59" t="s">
        <v>174</v>
      </c>
      <c r="I3" s="59" t="s">
        <v>175</v>
      </c>
      <c r="J3" s="59" t="s">
        <v>16</v>
      </c>
      <c r="K3" s="59" t="s">
        <v>177</v>
      </c>
      <c r="L3" s="59" t="s">
        <v>178</v>
      </c>
      <c r="M3" s="59" t="s">
        <v>179</v>
      </c>
    </row>
    <row r="4" spans="1:13" ht="51" x14ac:dyDescent="0.2">
      <c r="A4" s="6"/>
      <c r="B4" s="59">
        <v>1</v>
      </c>
      <c r="C4" s="59" t="s">
        <v>294</v>
      </c>
      <c r="D4" s="59" t="s">
        <v>85</v>
      </c>
      <c r="E4" s="59" t="s">
        <v>355</v>
      </c>
      <c r="F4" s="59" t="s">
        <v>180</v>
      </c>
      <c r="G4" s="59" t="s">
        <v>295</v>
      </c>
      <c r="H4" s="70">
        <v>2024</v>
      </c>
      <c r="I4" s="68"/>
      <c r="J4" s="68"/>
      <c r="K4" s="68">
        <v>12</v>
      </c>
      <c r="L4" s="68"/>
      <c r="M4" s="68"/>
    </row>
    <row r="5" spans="1:13" ht="34" x14ac:dyDescent="0.2">
      <c r="A5" s="6"/>
      <c r="B5" s="59">
        <v>2</v>
      </c>
      <c r="C5" s="59" t="s">
        <v>296</v>
      </c>
      <c r="D5" s="59" t="s">
        <v>97</v>
      </c>
      <c r="E5" s="59" t="s">
        <v>297</v>
      </c>
      <c r="F5" s="59" t="s">
        <v>192</v>
      </c>
      <c r="G5" s="59" t="s">
        <v>356</v>
      </c>
      <c r="H5" s="70">
        <v>2024</v>
      </c>
      <c r="I5" s="68"/>
      <c r="J5" s="68"/>
      <c r="K5" s="68">
        <v>704</v>
      </c>
      <c r="L5" s="68"/>
      <c r="M5" s="68"/>
    </row>
    <row r="6" spans="1:13" ht="17" x14ac:dyDescent="0.2">
      <c r="A6" s="6"/>
      <c r="B6" s="59">
        <v>3</v>
      </c>
      <c r="C6" s="59" t="s">
        <v>296</v>
      </c>
      <c r="D6" s="59" t="s">
        <v>298</v>
      </c>
      <c r="E6" s="59" t="s">
        <v>297</v>
      </c>
      <c r="F6" s="59" t="s">
        <v>192</v>
      </c>
      <c r="G6" s="59" t="s">
        <v>194</v>
      </c>
      <c r="H6" s="70">
        <v>2023</v>
      </c>
      <c r="I6" s="68"/>
      <c r="J6" s="68">
        <v>132</v>
      </c>
      <c r="K6" s="68"/>
      <c r="L6" s="68"/>
      <c r="M6" s="68"/>
    </row>
    <row r="7" spans="1:13" ht="17" x14ac:dyDescent="0.2">
      <c r="A7" s="6"/>
      <c r="B7" s="59">
        <v>4</v>
      </c>
      <c r="C7" s="59" t="s">
        <v>296</v>
      </c>
      <c r="D7" s="59" t="s">
        <v>299</v>
      </c>
      <c r="E7" s="59" t="s">
        <v>297</v>
      </c>
      <c r="F7" s="59" t="s">
        <v>300</v>
      </c>
      <c r="G7" s="59" t="s">
        <v>194</v>
      </c>
      <c r="H7" s="70">
        <v>2025</v>
      </c>
      <c r="I7" s="68"/>
      <c r="J7" s="68"/>
      <c r="K7" s="68">
        <v>924</v>
      </c>
      <c r="L7" s="68"/>
      <c r="M7" s="68"/>
    </row>
    <row r="8" spans="1:13" ht="34" x14ac:dyDescent="0.2">
      <c r="A8" s="6"/>
      <c r="B8" s="59">
        <v>5</v>
      </c>
      <c r="C8" s="59" t="s">
        <v>296</v>
      </c>
      <c r="D8" s="59" t="s">
        <v>301</v>
      </c>
      <c r="E8" s="59" t="s">
        <v>297</v>
      </c>
      <c r="F8" s="59" t="s">
        <v>300</v>
      </c>
      <c r="G8" s="59" t="s">
        <v>302</v>
      </c>
      <c r="H8" s="70" t="s">
        <v>87</v>
      </c>
      <c r="I8" s="68"/>
      <c r="J8" s="68"/>
      <c r="K8" s="68">
        <v>900</v>
      </c>
      <c r="L8" s="68"/>
      <c r="M8" s="68"/>
    </row>
    <row r="9" spans="1:13" ht="17" x14ac:dyDescent="0.2">
      <c r="A9" s="6"/>
      <c r="B9" s="59">
        <v>6</v>
      </c>
      <c r="C9" s="59" t="s">
        <v>303</v>
      </c>
      <c r="D9" s="59" t="s">
        <v>86</v>
      </c>
      <c r="E9" s="59" t="s">
        <v>297</v>
      </c>
      <c r="F9" s="59" t="s">
        <v>182</v>
      </c>
      <c r="G9" s="59" t="s">
        <v>87</v>
      </c>
      <c r="H9" s="70" t="s">
        <v>87</v>
      </c>
      <c r="I9" s="68"/>
      <c r="J9" s="68"/>
      <c r="K9" s="68"/>
      <c r="L9" s="68">
        <v>2000</v>
      </c>
      <c r="M9" s="68"/>
    </row>
    <row r="10" spans="1:13" ht="17" x14ac:dyDescent="0.2">
      <c r="A10" s="6"/>
      <c r="B10" s="59">
        <v>7</v>
      </c>
      <c r="C10" s="59" t="s">
        <v>303</v>
      </c>
      <c r="D10" s="59" t="s">
        <v>38</v>
      </c>
      <c r="E10" s="59" t="s">
        <v>304</v>
      </c>
      <c r="F10" s="59" t="s">
        <v>183</v>
      </c>
      <c r="G10" s="59" t="s">
        <v>185</v>
      </c>
      <c r="H10" s="70">
        <v>2024</v>
      </c>
      <c r="I10" s="68"/>
      <c r="J10" s="68">
        <v>800</v>
      </c>
      <c r="K10" s="68"/>
      <c r="L10" s="68"/>
      <c r="M10" s="68"/>
    </row>
    <row r="11" spans="1:13" ht="17" x14ac:dyDescent="0.2">
      <c r="A11" s="6"/>
      <c r="B11" s="59">
        <v>8</v>
      </c>
      <c r="C11" s="59" t="s">
        <v>303</v>
      </c>
      <c r="D11" s="59" t="s">
        <v>98</v>
      </c>
      <c r="E11" s="59" t="s">
        <v>211</v>
      </c>
      <c r="F11" s="59" t="s">
        <v>305</v>
      </c>
      <c r="G11" s="59" t="s">
        <v>184</v>
      </c>
      <c r="H11" s="70">
        <v>2025</v>
      </c>
      <c r="I11" s="68"/>
      <c r="J11" s="68"/>
      <c r="K11" s="68">
        <v>800</v>
      </c>
      <c r="L11" s="68"/>
      <c r="M11" s="68"/>
    </row>
    <row r="12" spans="1:13" ht="17" x14ac:dyDescent="0.2">
      <c r="A12" s="6"/>
      <c r="B12" s="59">
        <v>9</v>
      </c>
      <c r="C12" s="59" t="s">
        <v>303</v>
      </c>
      <c r="D12" s="59" t="s">
        <v>306</v>
      </c>
      <c r="E12" s="59" t="s">
        <v>211</v>
      </c>
      <c r="F12" s="59" t="s">
        <v>305</v>
      </c>
      <c r="G12" s="59" t="s">
        <v>185</v>
      </c>
      <c r="H12" s="70">
        <v>2027</v>
      </c>
      <c r="I12" s="68"/>
      <c r="J12" s="68"/>
      <c r="K12" s="68">
        <v>1232</v>
      </c>
      <c r="L12" s="68"/>
      <c r="M12" s="68"/>
    </row>
    <row r="13" spans="1:13" ht="51" x14ac:dyDescent="0.2">
      <c r="A13" s="6"/>
      <c r="B13" s="59">
        <v>10</v>
      </c>
      <c r="C13" s="59" t="s">
        <v>303</v>
      </c>
      <c r="D13" s="59" t="s">
        <v>307</v>
      </c>
      <c r="E13" s="59" t="s">
        <v>308</v>
      </c>
      <c r="F13" s="59" t="s">
        <v>187</v>
      </c>
      <c r="G13" s="59" t="s">
        <v>309</v>
      </c>
      <c r="H13" s="70">
        <v>2028</v>
      </c>
      <c r="I13" s="68"/>
      <c r="J13" s="68"/>
      <c r="K13" s="68"/>
      <c r="L13" s="68">
        <v>1230</v>
      </c>
      <c r="M13" s="68"/>
    </row>
    <row r="14" spans="1:13" ht="17" x14ac:dyDescent="0.2">
      <c r="A14" s="6"/>
      <c r="B14" s="59">
        <v>11</v>
      </c>
      <c r="C14" s="59" t="s">
        <v>303</v>
      </c>
      <c r="D14" s="59" t="s">
        <v>310</v>
      </c>
      <c r="E14" s="59" t="s">
        <v>308</v>
      </c>
      <c r="F14" s="59" t="s">
        <v>187</v>
      </c>
      <c r="G14" s="59" t="s">
        <v>87</v>
      </c>
      <c r="H14" s="70" t="s">
        <v>87</v>
      </c>
      <c r="I14" s="68"/>
      <c r="J14" s="68"/>
      <c r="K14" s="68"/>
      <c r="L14" s="68">
        <v>1200</v>
      </c>
      <c r="M14" s="68"/>
    </row>
    <row r="15" spans="1:13" ht="17" x14ac:dyDescent="0.2">
      <c r="A15" s="6"/>
      <c r="B15" s="59">
        <v>12</v>
      </c>
      <c r="C15" s="59" t="s">
        <v>303</v>
      </c>
      <c r="D15" s="59" t="s">
        <v>311</v>
      </c>
      <c r="E15" s="59" t="s">
        <v>312</v>
      </c>
      <c r="F15" s="59" t="s">
        <v>189</v>
      </c>
      <c r="G15" s="59" t="s">
        <v>185</v>
      </c>
      <c r="H15" s="70">
        <v>2025</v>
      </c>
      <c r="I15" s="68"/>
      <c r="J15" s="68"/>
      <c r="K15" s="68">
        <v>804</v>
      </c>
      <c r="L15" s="68"/>
      <c r="M15" s="68"/>
    </row>
    <row r="16" spans="1:13" ht="17" x14ac:dyDescent="0.2">
      <c r="A16" s="6"/>
      <c r="B16" s="59">
        <v>13</v>
      </c>
      <c r="C16" s="59" t="s">
        <v>303</v>
      </c>
      <c r="D16" s="59" t="s">
        <v>313</v>
      </c>
      <c r="E16" s="59" t="s">
        <v>312</v>
      </c>
      <c r="F16" s="59" t="s">
        <v>189</v>
      </c>
      <c r="G16" s="59" t="s">
        <v>185</v>
      </c>
      <c r="H16" s="70">
        <v>2025</v>
      </c>
      <c r="I16" s="68"/>
      <c r="J16" s="68"/>
      <c r="K16" s="68">
        <v>400</v>
      </c>
      <c r="L16" s="68"/>
      <c r="M16" s="68"/>
    </row>
    <row r="17" spans="1:13" ht="17" x14ac:dyDescent="0.2">
      <c r="A17" s="6"/>
      <c r="B17" s="59">
        <v>14</v>
      </c>
      <c r="C17" s="59" t="s">
        <v>303</v>
      </c>
      <c r="D17" s="59" t="s">
        <v>314</v>
      </c>
      <c r="E17" s="59" t="s">
        <v>312</v>
      </c>
      <c r="F17" s="59" t="s">
        <v>189</v>
      </c>
      <c r="G17" s="59" t="s">
        <v>87</v>
      </c>
      <c r="H17" s="70" t="s">
        <v>87</v>
      </c>
      <c r="I17" s="68"/>
      <c r="J17" s="68"/>
      <c r="K17" s="68">
        <v>800</v>
      </c>
      <c r="L17" s="68"/>
      <c r="M17" s="68"/>
    </row>
    <row r="18" spans="1:13" ht="17" x14ac:dyDescent="0.2">
      <c r="A18" s="6"/>
      <c r="B18" s="59">
        <v>15</v>
      </c>
      <c r="C18" s="59" t="s">
        <v>303</v>
      </c>
      <c r="D18" s="59" t="s">
        <v>315</v>
      </c>
      <c r="E18" s="59" t="s">
        <v>190</v>
      </c>
      <c r="F18" s="59" t="s">
        <v>189</v>
      </c>
      <c r="G18" s="59" t="s">
        <v>87</v>
      </c>
      <c r="H18" s="70" t="s">
        <v>87</v>
      </c>
      <c r="I18" s="68"/>
      <c r="J18" s="68"/>
      <c r="K18" s="68">
        <v>10</v>
      </c>
      <c r="L18" s="68"/>
      <c r="M18" s="68"/>
    </row>
    <row r="19" spans="1:13" ht="17" x14ac:dyDescent="0.2">
      <c r="A19" s="6"/>
      <c r="B19" s="59">
        <v>16</v>
      </c>
      <c r="C19" s="59" t="s">
        <v>303</v>
      </c>
      <c r="D19" s="59" t="s">
        <v>316</v>
      </c>
      <c r="E19" s="59" t="s">
        <v>317</v>
      </c>
      <c r="F19" s="59" t="s">
        <v>191</v>
      </c>
      <c r="G19" s="59" t="s">
        <v>87</v>
      </c>
      <c r="H19" s="70" t="s">
        <v>87</v>
      </c>
      <c r="I19" s="68"/>
      <c r="J19" s="68"/>
      <c r="K19" s="68"/>
      <c r="L19" s="68">
        <v>1607</v>
      </c>
      <c r="M19" s="68"/>
    </row>
    <row r="20" spans="1:13" ht="17" x14ac:dyDescent="0.2">
      <c r="A20" s="6"/>
      <c r="B20" s="59">
        <v>17</v>
      </c>
      <c r="C20" s="59" t="s">
        <v>318</v>
      </c>
      <c r="D20" s="59" t="s">
        <v>88</v>
      </c>
      <c r="E20" s="59" t="s">
        <v>297</v>
      </c>
      <c r="F20" s="59" t="s">
        <v>180</v>
      </c>
      <c r="G20" s="59" t="s">
        <v>195</v>
      </c>
      <c r="H20" s="70">
        <v>2016</v>
      </c>
      <c r="I20" s="68">
        <v>30</v>
      </c>
      <c r="J20" s="68"/>
      <c r="K20" s="68"/>
      <c r="L20" s="68"/>
      <c r="M20" s="68"/>
    </row>
    <row r="21" spans="1:13" ht="17" x14ac:dyDescent="0.2">
      <c r="A21" s="6"/>
      <c r="B21" s="59">
        <v>18</v>
      </c>
      <c r="C21" s="59" t="s">
        <v>319</v>
      </c>
      <c r="D21" s="59" t="s">
        <v>320</v>
      </c>
      <c r="E21" s="59" t="s">
        <v>308</v>
      </c>
      <c r="F21" s="59" t="s">
        <v>198</v>
      </c>
      <c r="G21" s="59" t="s">
        <v>188</v>
      </c>
      <c r="H21" s="70">
        <v>2026</v>
      </c>
      <c r="I21" s="68"/>
      <c r="J21" s="68"/>
      <c r="K21" s="68">
        <v>816</v>
      </c>
      <c r="L21" s="68"/>
      <c r="M21" s="68"/>
    </row>
    <row r="22" spans="1:13" ht="17" x14ac:dyDescent="0.2">
      <c r="A22" s="6"/>
      <c r="B22" s="59">
        <v>19</v>
      </c>
      <c r="C22" s="59" t="s">
        <v>319</v>
      </c>
      <c r="D22" s="59" t="s">
        <v>321</v>
      </c>
      <c r="E22" s="59" t="s">
        <v>308</v>
      </c>
      <c r="F22" s="59" t="s">
        <v>198</v>
      </c>
      <c r="G22" s="59" t="s">
        <v>188</v>
      </c>
      <c r="H22" s="70">
        <v>2027</v>
      </c>
      <c r="I22" s="68"/>
      <c r="J22" s="68"/>
      <c r="K22" s="68">
        <v>1260</v>
      </c>
      <c r="L22" s="68"/>
      <c r="M22" s="68"/>
    </row>
    <row r="23" spans="1:13" ht="17" x14ac:dyDescent="0.2">
      <c r="A23" s="6"/>
      <c r="B23" s="59">
        <v>20</v>
      </c>
      <c r="C23" s="59" t="s">
        <v>319</v>
      </c>
      <c r="D23" s="59" t="s">
        <v>322</v>
      </c>
      <c r="E23" s="59" t="s">
        <v>164</v>
      </c>
      <c r="F23" s="59" t="s">
        <v>197</v>
      </c>
      <c r="G23" s="59" t="s">
        <v>164</v>
      </c>
      <c r="H23" s="70" t="s">
        <v>164</v>
      </c>
      <c r="I23" s="68"/>
      <c r="J23" s="68"/>
      <c r="K23" s="68"/>
      <c r="L23" s="68"/>
      <c r="M23" s="68" t="s">
        <v>323</v>
      </c>
    </row>
    <row r="24" spans="1:13" ht="17" x14ac:dyDescent="0.2">
      <c r="A24" s="6"/>
      <c r="B24" s="59">
        <v>21</v>
      </c>
      <c r="C24" s="59" t="s">
        <v>319</v>
      </c>
      <c r="D24" s="59" t="s">
        <v>324</v>
      </c>
      <c r="E24" s="59" t="s">
        <v>164</v>
      </c>
      <c r="F24" s="59" t="s">
        <v>197</v>
      </c>
      <c r="G24" s="59" t="s">
        <v>164</v>
      </c>
      <c r="H24" s="70" t="s">
        <v>164</v>
      </c>
      <c r="I24" s="68"/>
      <c r="J24" s="68"/>
      <c r="K24" s="68"/>
      <c r="L24" s="68"/>
      <c r="M24" s="68" t="s">
        <v>323</v>
      </c>
    </row>
    <row r="25" spans="1:13" ht="17" x14ac:dyDescent="0.2">
      <c r="A25" s="6"/>
      <c r="B25" s="59">
        <v>22</v>
      </c>
      <c r="C25" s="59" t="s">
        <v>325</v>
      </c>
      <c r="D25" s="59" t="s">
        <v>326</v>
      </c>
      <c r="E25" s="59" t="s">
        <v>317</v>
      </c>
      <c r="F25" s="59" t="s">
        <v>327</v>
      </c>
      <c r="G25" s="59" t="s">
        <v>87</v>
      </c>
      <c r="H25" s="70" t="s">
        <v>87</v>
      </c>
      <c r="I25" s="68"/>
      <c r="J25" s="68"/>
      <c r="K25" s="68"/>
      <c r="L25" s="68">
        <v>523</v>
      </c>
      <c r="M25" s="68"/>
    </row>
    <row r="26" spans="1:13" ht="17" x14ac:dyDescent="0.2">
      <c r="A26" s="6"/>
      <c r="B26" s="59">
        <v>23</v>
      </c>
      <c r="C26" s="59" t="s">
        <v>325</v>
      </c>
      <c r="D26" s="59" t="s">
        <v>328</v>
      </c>
      <c r="E26" s="59" t="s">
        <v>329</v>
      </c>
      <c r="F26" s="59" t="s">
        <v>357</v>
      </c>
      <c r="G26" s="59" t="s">
        <v>87</v>
      </c>
      <c r="H26" s="70" t="s">
        <v>87</v>
      </c>
      <c r="I26" s="68"/>
      <c r="J26" s="68"/>
      <c r="K26" s="68"/>
      <c r="L26" s="68">
        <v>868</v>
      </c>
      <c r="M26" s="68"/>
    </row>
    <row r="27" spans="1:13" ht="17" x14ac:dyDescent="0.2">
      <c r="A27" s="6"/>
      <c r="B27" s="59">
        <v>24</v>
      </c>
      <c r="C27" s="59" t="s">
        <v>325</v>
      </c>
      <c r="D27" s="59" t="s">
        <v>331</v>
      </c>
      <c r="E27" s="59" t="s">
        <v>332</v>
      </c>
      <c r="F27" s="59" t="s">
        <v>333</v>
      </c>
      <c r="G27" s="59" t="s">
        <v>87</v>
      </c>
      <c r="H27" s="70" t="s">
        <v>87</v>
      </c>
      <c r="I27" s="68"/>
      <c r="J27" s="68"/>
      <c r="K27" s="68"/>
      <c r="L27" s="68">
        <v>964</v>
      </c>
      <c r="M27" s="68"/>
    </row>
    <row r="28" spans="1:13" ht="17" x14ac:dyDescent="0.2">
      <c r="A28" s="6"/>
      <c r="B28" s="59">
        <v>25</v>
      </c>
      <c r="C28" s="59" t="s">
        <v>325</v>
      </c>
      <c r="D28" s="59" t="s">
        <v>334</v>
      </c>
      <c r="E28" s="59" t="s">
        <v>335</v>
      </c>
      <c r="F28" s="59" t="s">
        <v>336</v>
      </c>
      <c r="G28" s="59" t="s">
        <v>87</v>
      </c>
      <c r="H28" s="70" t="s">
        <v>87</v>
      </c>
      <c r="I28" s="68"/>
      <c r="J28" s="68"/>
      <c r="K28" s="68"/>
      <c r="L28" s="68">
        <v>1387</v>
      </c>
      <c r="M28" s="68"/>
    </row>
    <row r="29" spans="1:13" ht="34" x14ac:dyDescent="0.2">
      <c r="A29" s="6"/>
      <c r="B29" s="59">
        <v>26</v>
      </c>
      <c r="C29" s="59" t="s">
        <v>325</v>
      </c>
      <c r="D29" s="59" t="s">
        <v>337</v>
      </c>
      <c r="E29" s="59" t="s">
        <v>338</v>
      </c>
      <c r="F29" s="59" t="s">
        <v>339</v>
      </c>
      <c r="G29" s="59" t="s">
        <v>87</v>
      </c>
      <c r="H29" s="70" t="s">
        <v>87</v>
      </c>
      <c r="I29" s="68"/>
      <c r="J29" s="68"/>
      <c r="K29" s="68"/>
      <c r="L29" s="68">
        <v>924</v>
      </c>
      <c r="M29" s="68"/>
    </row>
    <row r="30" spans="1:13" ht="34" x14ac:dyDescent="0.2">
      <c r="A30" s="6"/>
      <c r="B30" s="59">
        <v>27</v>
      </c>
      <c r="C30" s="59" t="s">
        <v>325</v>
      </c>
      <c r="D30" s="59" t="s">
        <v>340</v>
      </c>
      <c r="E30" s="59" t="s">
        <v>341</v>
      </c>
      <c r="F30" s="59" t="s">
        <v>342</v>
      </c>
      <c r="G30" s="59" t="s">
        <v>87</v>
      </c>
      <c r="H30" s="70" t="s">
        <v>87</v>
      </c>
      <c r="I30" s="68"/>
      <c r="J30" s="68"/>
      <c r="K30" s="68"/>
      <c r="L30" s="68">
        <v>934</v>
      </c>
      <c r="M30" s="68"/>
    </row>
    <row r="31" spans="1:13" ht="34" x14ac:dyDescent="0.2">
      <c r="A31" s="6"/>
      <c r="B31" s="59">
        <v>28</v>
      </c>
      <c r="C31" s="59" t="s">
        <v>343</v>
      </c>
      <c r="D31" s="59" t="s">
        <v>344</v>
      </c>
      <c r="E31" s="59" t="s">
        <v>338</v>
      </c>
      <c r="F31" s="59" t="s">
        <v>199</v>
      </c>
      <c r="G31" s="59" t="s">
        <v>200</v>
      </c>
      <c r="H31" s="70">
        <v>2027</v>
      </c>
      <c r="I31" s="68"/>
      <c r="J31" s="68"/>
      <c r="K31" s="68">
        <v>1510</v>
      </c>
      <c r="L31" s="68"/>
      <c r="M31" s="68"/>
    </row>
    <row r="32" spans="1:13" ht="34" x14ac:dyDescent="0.2">
      <c r="A32" s="6"/>
      <c r="B32" s="59">
        <v>29</v>
      </c>
      <c r="C32" s="59" t="s">
        <v>343</v>
      </c>
      <c r="D32" s="59" t="s">
        <v>345</v>
      </c>
      <c r="E32" s="59" t="s">
        <v>338</v>
      </c>
      <c r="F32" s="59" t="s">
        <v>199</v>
      </c>
      <c r="G32" s="59" t="s">
        <v>87</v>
      </c>
      <c r="H32" s="70" t="s">
        <v>87</v>
      </c>
      <c r="I32" s="68"/>
      <c r="J32" s="68"/>
      <c r="K32" s="68">
        <v>1000</v>
      </c>
      <c r="L32" s="68"/>
      <c r="M32" s="68"/>
    </row>
    <row r="33" spans="1:13" ht="17" x14ac:dyDescent="0.2">
      <c r="A33" s="6"/>
      <c r="B33" s="59">
        <v>30</v>
      </c>
      <c r="C33" s="59" t="s">
        <v>343</v>
      </c>
      <c r="D33" s="59" t="s">
        <v>346</v>
      </c>
      <c r="E33" s="59" t="s">
        <v>347</v>
      </c>
      <c r="F33" s="59" t="s">
        <v>201</v>
      </c>
      <c r="G33" s="59" t="s">
        <v>200</v>
      </c>
      <c r="H33" s="70">
        <v>2025</v>
      </c>
      <c r="I33" s="68"/>
      <c r="J33" s="68"/>
      <c r="K33" s="68">
        <v>1100</v>
      </c>
      <c r="L33" s="68"/>
      <c r="M33" s="68"/>
    </row>
    <row r="34" spans="1:13" ht="17" x14ac:dyDescent="0.2">
      <c r="A34" s="6"/>
      <c r="B34" s="59">
        <v>31</v>
      </c>
      <c r="C34" s="59" t="s">
        <v>343</v>
      </c>
      <c r="D34" s="59" t="s">
        <v>348</v>
      </c>
      <c r="E34" s="59" t="s">
        <v>347</v>
      </c>
      <c r="F34" s="59" t="s">
        <v>349</v>
      </c>
      <c r="G34" s="59" t="s">
        <v>200</v>
      </c>
      <c r="H34" s="70">
        <v>2028</v>
      </c>
      <c r="I34" s="68"/>
      <c r="J34" s="68"/>
      <c r="K34" s="68">
        <v>1148</v>
      </c>
      <c r="L34" s="68"/>
      <c r="M34" s="68"/>
    </row>
    <row r="35" spans="1:13" ht="17" x14ac:dyDescent="0.2">
      <c r="A35" s="6"/>
      <c r="B35" s="59">
        <v>32</v>
      </c>
      <c r="C35" s="59" t="s">
        <v>350</v>
      </c>
      <c r="D35" s="59" t="s">
        <v>351</v>
      </c>
      <c r="E35" s="59" t="s">
        <v>352</v>
      </c>
      <c r="F35" s="59" t="s">
        <v>180</v>
      </c>
      <c r="G35" s="59" t="s">
        <v>353</v>
      </c>
      <c r="H35" s="70">
        <v>2042</v>
      </c>
      <c r="I35" s="68"/>
      <c r="J35" s="68"/>
      <c r="K35" s="68">
        <v>21</v>
      </c>
      <c r="L35" s="68"/>
      <c r="M35" s="68"/>
    </row>
    <row r="36" spans="1:13" ht="17" x14ac:dyDescent="0.2">
      <c r="A36" s="6"/>
      <c r="B36" s="66" t="s">
        <v>354</v>
      </c>
      <c r="C36" s="66"/>
      <c r="D36" s="66"/>
      <c r="E36" s="66"/>
      <c r="F36" s="66"/>
      <c r="G36" s="66"/>
      <c r="H36" s="71"/>
      <c r="I36" s="69">
        <v>30</v>
      </c>
      <c r="J36" s="69">
        <v>932</v>
      </c>
      <c r="K36" s="69">
        <v>13441</v>
      </c>
      <c r="L36" s="69">
        <v>11637</v>
      </c>
      <c r="M36" s="69">
        <v>0</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EEC26-0817-604E-8B8B-B3921AD766F6}">
  <dimension ref="A1:M21"/>
  <sheetViews>
    <sheetView workbookViewId="0">
      <selection activeCell="H53" sqref="H53"/>
    </sheetView>
  </sheetViews>
  <sheetFormatPr baseColWidth="10" defaultColWidth="8.83203125" defaultRowHeight="16" x14ac:dyDescent="0.2"/>
  <cols>
    <col min="2" max="2" width="20.33203125" customWidth="1"/>
    <col min="3" max="3" width="28.5" customWidth="1"/>
    <col min="4" max="4" width="26.33203125" customWidth="1"/>
    <col min="5" max="5" width="20.33203125" customWidth="1"/>
    <col min="6" max="6" width="17.83203125" bestFit="1" customWidth="1"/>
    <col min="7" max="7" width="19.83203125" bestFit="1" customWidth="1"/>
    <col min="8" max="8" width="33.6640625" bestFit="1" customWidth="1"/>
    <col min="9" max="9" width="13.5" bestFit="1" customWidth="1"/>
    <col min="10" max="10" width="17" bestFit="1" customWidth="1"/>
    <col min="11" max="11" width="15.1640625" bestFit="1" customWidth="1"/>
    <col min="12" max="12" width="16" bestFit="1" customWidth="1"/>
    <col min="13" max="13" width="13.5" bestFit="1" customWidth="1"/>
  </cols>
  <sheetData>
    <row r="1" spans="1:13" ht="24" x14ac:dyDescent="0.3">
      <c r="B1" s="8" t="s">
        <v>359</v>
      </c>
    </row>
    <row r="3" spans="1:13" ht="17" x14ac:dyDescent="0.2">
      <c r="B3" s="59" t="s">
        <v>170</v>
      </c>
      <c r="C3" s="59" t="s">
        <v>293</v>
      </c>
      <c r="D3" s="59" t="s">
        <v>103</v>
      </c>
      <c r="E3" s="59" t="s">
        <v>171</v>
      </c>
      <c r="F3" s="59" t="s">
        <v>172</v>
      </c>
      <c r="G3" s="59" t="s">
        <v>173</v>
      </c>
      <c r="H3" s="59" t="s">
        <v>174</v>
      </c>
      <c r="I3" s="59" t="s">
        <v>175</v>
      </c>
      <c r="J3" s="59" t="s">
        <v>16</v>
      </c>
      <c r="K3" s="59" t="s">
        <v>177</v>
      </c>
      <c r="L3" s="59" t="s">
        <v>178</v>
      </c>
      <c r="M3" s="59" t="s">
        <v>179</v>
      </c>
    </row>
    <row r="4" spans="1:13" ht="34" x14ac:dyDescent="0.2">
      <c r="A4" s="6"/>
      <c r="B4" s="59">
        <v>33</v>
      </c>
      <c r="C4" s="59" t="s">
        <v>360</v>
      </c>
      <c r="D4" s="59" t="s">
        <v>361</v>
      </c>
      <c r="E4" s="59" t="s">
        <v>203</v>
      </c>
      <c r="F4" s="59" t="s">
        <v>202</v>
      </c>
      <c r="G4" s="59" t="s">
        <v>87</v>
      </c>
      <c r="H4" s="59" t="s">
        <v>87</v>
      </c>
      <c r="I4" s="59"/>
      <c r="J4" s="59"/>
      <c r="K4" s="59"/>
      <c r="L4" s="65">
        <v>1000</v>
      </c>
      <c r="M4" s="2"/>
    </row>
    <row r="5" spans="1:13" ht="17" x14ac:dyDescent="0.2">
      <c r="A5" s="6"/>
      <c r="B5" s="59">
        <v>34</v>
      </c>
      <c r="C5" s="59" t="s">
        <v>360</v>
      </c>
      <c r="D5" s="59" t="s">
        <v>362</v>
      </c>
      <c r="E5" s="59" t="s">
        <v>203</v>
      </c>
      <c r="F5" s="59" t="s">
        <v>204</v>
      </c>
      <c r="G5" s="59" t="s">
        <v>205</v>
      </c>
      <c r="H5" s="59">
        <v>2026</v>
      </c>
      <c r="I5" s="59"/>
      <c r="J5" s="59"/>
      <c r="K5" s="59"/>
      <c r="L5" s="59">
        <v>120</v>
      </c>
      <c r="M5" s="2"/>
    </row>
    <row r="6" spans="1:13" ht="34" x14ac:dyDescent="0.2">
      <c r="A6" s="6"/>
      <c r="B6" s="59">
        <v>35</v>
      </c>
      <c r="C6" s="59" t="s">
        <v>360</v>
      </c>
      <c r="D6" s="59" t="s">
        <v>363</v>
      </c>
      <c r="E6" s="59" t="s">
        <v>203</v>
      </c>
      <c r="F6" s="59" t="s">
        <v>364</v>
      </c>
      <c r="G6" s="59" t="s">
        <v>205</v>
      </c>
      <c r="H6" s="59">
        <v>2026</v>
      </c>
      <c r="I6" s="59"/>
      <c r="J6" s="59"/>
      <c r="K6" s="59"/>
      <c r="L6" s="59">
        <v>808</v>
      </c>
      <c r="M6" s="2"/>
    </row>
    <row r="7" spans="1:13" ht="17" x14ac:dyDescent="0.2">
      <c r="A7" s="6"/>
      <c r="B7" s="59">
        <v>36</v>
      </c>
      <c r="C7" s="59" t="s">
        <v>365</v>
      </c>
      <c r="D7" s="59" t="s">
        <v>366</v>
      </c>
      <c r="E7" s="59" t="s">
        <v>118</v>
      </c>
      <c r="F7" s="59" t="s">
        <v>199</v>
      </c>
      <c r="G7" s="59" t="s">
        <v>205</v>
      </c>
      <c r="H7" s="59">
        <v>2024</v>
      </c>
      <c r="I7" s="59"/>
      <c r="J7" s="59"/>
      <c r="K7" s="59"/>
      <c r="L7" s="59">
        <v>248</v>
      </c>
      <c r="M7" s="2"/>
    </row>
    <row r="8" spans="1:13" ht="17" x14ac:dyDescent="0.2">
      <c r="A8" s="6"/>
      <c r="B8" s="59">
        <v>37</v>
      </c>
      <c r="C8" s="59" t="s">
        <v>365</v>
      </c>
      <c r="D8" s="59" t="s">
        <v>367</v>
      </c>
      <c r="E8" s="59" t="s">
        <v>118</v>
      </c>
      <c r="F8" s="59" t="s">
        <v>199</v>
      </c>
      <c r="G8" s="59" t="s">
        <v>205</v>
      </c>
      <c r="H8" s="59">
        <v>2026</v>
      </c>
      <c r="I8" s="59"/>
      <c r="J8" s="59"/>
      <c r="K8" s="59"/>
      <c r="L8" s="59">
        <v>846</v>
      </c>
      <c r="M8" s="2"/>
    </row>
    <row r="9" spans="1:13" ht="34" x14ac:dyDescent="0.2">
      <c r="A9" s="6"/>
      <c r="B9" s="59">
        <v>38</v>
      </c>
      <c r="C9" s="59" t="s">
        <v>368</v>
      </c>
      <c r="D9" s="59" t="s">
        <v>369</v>
      </c>
      <c r="E9" s="59" t="s">
        <v>208</v>
      </c>
      <c r="F9" s="59" t="s">
        <v>209</v>
      </c>
      <c r="G9" s="59" t="s">
        <v>210</v>
      </c>
      <c r="H9" s="59">
        <v>2020</v>
      </c>
      <c r="I9" s="59">
        <v>12</v>
      </c>
      <c r="J9" s="59"/>
      <c r="K9" s="59"/>
      <c r="L9" s="59"/>
      <c r="M9" s="2"/>
    </row>
    <row r="10" spans="1:13" ht="34" x14ac:dyDescent="0.2">
      <c r="A10" s="6"/>
      <c r="B10" s="59">
        <v>39</v>
      </c>
      <c r="C10" s="59" t="s">
        <v>368</v>
      </c>
      <c r="D10" s="59" t="s">
        <v>370</v>
      </c>
      <c r="E10" s="59" t="s">
        <v>208</v>
      </c>
      <c r="F10" s="59" t="s">
        <v>300</v>
      </c>
      <c r="G10" s="59" t="s">
        <v>210</v>
      </c>
      <c r="H10" s="59">
        <v>2026</v>
      </c>
      <c r="I10" s="59"/>
      <c r="J10" s="59"/>
      <c r="K10" s="65">
        <v>2640</v>
      </c>
      <c r="L10" s="59"/>
      <c r="M10" s="2"/>
    </row>
    <row r="11" spans="1:13" ht="17" x14ac:dyDescent="0.2">
      <c r="A11" s="6"/>
      <c r="B11" s="59">
        <v>40</v>
      </c>
      <c r="C11" s="59" t="s">
        <v>371</v>
      </c>
      <c r="D11" s="59" t="s">
        <v>92</v>
      </c>
      <c r="E11" s="59" t="s">
        <v>211</v>
      </c>
      <c r="F11" s="59" t="s">
        <v>212</v>
      </c>
      <c r="G11" s="59" t="s">
        <v>87</v>
      </c>
      <c r="H11" s="59">
        <v>2027</v>
      </c>
      <c r="I11" s="59"/>
      <c r="J11" s="59"/>
      <c r="K11" s="65">
        <v>2500</v>
      </c>
      <c r="L11" s="59"/>
      <c r="M11" s="2"/>
    </row>
    <row r="12" spans="1:13" ht="17" x14ac:dyDescent="0.2">
      <c r="A12" s="6"/>
      <c r="B12" s="59">
        <v>41</v>
      </c>
      <c r="C12" s="59" t="s">
        <v>372</v>
      </c>
      <c r="D12" s="59" t="s">
        <v>373</v>
      </c>
      <c r="E12" s="59" t="s">
        <v>164</v>
      </c>
      <c r="F12" s="59" t="s">
        <v>374</v>
      </c>
      <c r="G12" s="59" t="s">
        <v>164</v>
      </c>
      <c r="H12" s="59" t="s">
        <v>164</v>
      </c>
      <c r="I12" s="59"/>
      <c r="J12" s="59"/>
      <c r="K12" s="59"/>
      <c r="L12" s="59"/>
      <c r="M12" s="2"/>
    </row>
    <row r="13" spans="1:13" ht="17" x14ac:dyDescent="0.2">
      <c r="A13" s="6"/>
      <c r="B13" s="59">
        <v>42</v>
      </c>
      <c r="C13" s="59" t="s">
        <v>371</v>
      </c>
      <c r="D13" s="59" t="s">
        <v>375</v>
      </c>
      <c r="E13" s="59" t="s">
        <v>164</v>
      </c>
      <c r="F13" s="59" t="s">
        <v>164</v>
      </c>
      <c r="G13" s="59" t="s">
        <v>164</v>
      </c>
      <c r="H13" s="59" t="s">
        <v>164</v>
      </c>
      <c r="I13" s="59"/>
      <c r="J13" s="59"/>
      <c r="K13" s="59"/>
      <c r="L13" s="59"/>
      <c r="M13" s="2" t="s">
        <v>323</v>
      </c>
    </row>
    <row r="14" spans="1:13" ht="34" x14ac:dyDescent="0.2">
      <c r="A14" s="6"/>
      <c r="B14" s="59">
        <v>43</v>
      </c>
      <c r="C14" s="59" t="s">
        <v>371</v>
      </c>
      <c r="D14" s="59" t="s">
        <v>332</v>
      </c>
      <c r="E14" s="59" t="s">
        <v>376</v>
      </c>
      <c r="F14" s="59" t="s">
        <v>377</v>
      </c>
      <c r="G14" s="59" t="s">
        <v>164</v>
      </c>
      <c r="H14" s="59" t="s">
        <v>164</v>
      </c>
      <c r="I14" s="59"/>
      <c r="J14" s="59"/>
      <c r="K14" s="59"/>
      <c r="L14" s="59">
        <v>667</v>
      </c>
      <c r="M14" s="2"/>
    </row>
    <row r="15" spans="1:13" ht="34" x14ac:dyDescent="0.2">
      <c r="A15" s="6"/>
      <c r="B15" s="59">
        <v>44</v>
      </c>
      <c r="C15" s="59" t="s">
        <v>371</v>
      </c>
      <c r="D15" s="59" t="s">
        <v>378</v>
      </c>
      <c r="E15" s="59" t="s">
        <v>379</v>
      </c>
      <c r="F15" s="59" t="s">
        <v>380</v>
      </c>
      <c r="G15" s="59" t="s">
        <v>164</v>
      </c>
      <c r="H15" s="59" t="s">
        <v>164</v>
      </c>
      <c r="I15" s="59"/>
      <c r="J15" s="59"/>
      <c r="K15" s="59"/>
      <c r="L15" s="59">
        <v>670</v>
      </c>
      <c r="M15" s="2"/>
    </row>
    <row r="16" spans="1:13" ht="17" x14ac:dyDescent="0.2">
      <c r="A16" s="6"/>
      <c r="B16" s="59">
        <v>45</v>
      </c>
      <c r="C16" s="59" t="s">
        <v>381</v>
      </c>
      <c r="D16" s="59" t="s">
        <v>213</v>
      </c>
      <c r="E16" s="59" t="s">
        <v>164</v>
      </c>
      <c r="F16" s="59" t="s">
        <v>214</v>
      </c>
      <c r="G16" s="59" t="s">
        <v>164</v>
      </c>
      <c r="H16" s="59" t="s">
        <v>164</v>
      </c>
      <c r="I16" s="59"/>
      <c r="J16" s="59"/>
      <c r="K16" s="59"/>
      <c r="L16" s="59"/>
      <c r="M16" s="2"/>
    </row>
    <row r="17" spans="1:13" ht="17" x14ac:dyDescent="0.2">
      <c r="A17" s="6"/>
      <c r="B17" s="59">
        <v>46</v>
      </c>
      <c r="C17" s="59" t="s">
        <v>381</v>
      </c>
      <c r="D17" s="59" t="s">
        <v>215</v>
      </c>
      <c r="E17" s="59" t="s">
        <v>164</v>
      </c>
      <c r="F17" s="59" t="s">
        <v>214</v>
      </c>
      <c r="G17" s="59" t="s">
        <v>164</v>
      </c>
      <c r="H17" s="59" t="s">
        <v>164</v>
      </c>
      <c r="I17" s="59"/>
      <c r="J17" s="59"/>
      <c r="K17" s="59"/>
      <c r="L17" s="59"/>
      <c r="M17" s="2"/>
    </row>
    <row r="18" spans="1:13" ht="17" x14ac:dyDescent="0.2">
      <c r="A18" s="6"/>
      <c r="B18" s="59">
        <v>47</v>
      </c>
      <c r="C18" s="59" t="s">
        <v>381</v>
      </c>
      <c r="D18" s="59" t="s">
        <v>382</v>
      </c>
      <c r="E18" s="59" t="s">
        <v>164</v>
      </c>
      <c r="F18" s="59" t="s">
        <v>214</v>
      </c>
      <c r="G18" s="59" t="s">
        <v>164</v>
      </c>
      <c r="H18" s="59" t="s">
        <v>164</v>
      </c>
      <c r="I18" s="59"/>
      <c r="J18" s="59"/>
      <c r="K18" s="59"/>
      <c r="L18" s="59"/>
      <c r="M18" s="2"/>
    </row>
    <row r="19" spans="1:13" ht="17" x14ac:dyDescent="0.2">
      <c r="A19" s="6"/>
      <c r="B19" s="59">
        <v>48</v>
      </c>
      <c r="C19" s="59" t="s">
        <v>381</v>
      </c>
      <c r="D19" s="59" t="s">
        <v>217</v>
      </c>
      <c r="E19" s="59" t="s">
        <v>164</v>
      </c>
      <c r="F19" s="59" t="s">
        <v>214</v>
      </c>
      <c r="G19" s="59" t="s">
        <v>164</v>
      </c>
      <c r="H19" s="59" t="s">
        <v>164</v>
      </c>
      <c r="I19" s="59"/>
      <c r="J19" s="59"/>
      <c r="K19" s="59"/>
      <c r="L19" s="59"/>
      <c r="M19" s="2"/>
    </row>
    <row r="20" spans="1:13" ht="17" x14ac:dyDescent="0.2">
      <c r="A20" s="6"/>
      <c r="B20" s="59">
        <v>49</v>
      </c>
      <c r="C20" s="59" t="s">
        <v>383</v>
      </c>
      <c r="D20" s="59" t="s">
        <v>384</v>
      </c>
      <c r="E20" s="59" t="s">
        <v>164</v>
      </c>
      <c r="F20" s="59" t="s">
        <v>214</v>
      </c>
      <c r="G20" s="59" t="s">
        <v>164</v>
      </c>
      <c r="H20" s="59" t="s">
        <v>164</v>
      </c>
      <c r="I20" s="59"/>
      <c r="J20" s="59"/>
      <c r="K20" s="59"/>
      <c r="L20" s="59"/>
      <c r="M20" s="2"/>
    </row>
    <row r="21" spans="1:13" ht="17" x14ac:dyDescent="0.2">
      <c r="A21" s="6"/>
      <c r="B21" s="66" t="s">
        <v>354</v>
      </c>
      <c r="C21" s="66"/>
      <c r="D21" s="66"/>
      <c r="E21" s="66"/>
      <c r="F21" s="66"/>
      <c r="G21" s="66"/>
      <c r="H21" s="66"/>
      <c r="I21" s="66">
        <v>12</v>
      </c>
      <c r="J21" s="66">
        <v>0</v>
      </c>
      <c r="K21" s="67">
        <v>5140</v>
      </c>
      <c r="L21" s="67">
        <v>4359</v>
      </c>
      <c r="M21" s="66">
        <v>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FAEA-103F-CF45-A9B2-A7B57BB11A8F}">
  <dimension ref="A1:M11"/>
  <sheetViews>
    <sheetView workbookViewId="0">
      <selection activeCell="F17" sqref="F17"/>
    </sheetView>
  </sheetViews>
  <sheetFormatPr baseColWidth="10" defaultColWidth="8.83203125" defaultRowHeight="16" x14ac:dyDescent="0.2"/>
  <cols>
    <col min="2" max="2" width="20.33203125" customWidth="1"/>
    <col min="3" max="3" width="28.5" customWidth="1"/>
    <col min="4" max="4" width="26.33203125" customWidth="1"/>
    <col min="5" max="5" width="20.33203125" customWidth="1"/>
    <col min="6" max="6" width="17.83203125" bestFit="1" customWidth="1"/>
    <col min="7" max="7" width="19.83203125" bestFit="1" customWidth="1"/>
    <col min="8" max="8" width="33.6640625" bestFit="1" customWidth="1"/>
    <col min="9" max="9" width="13.5" bestFit="1" customWidth="1"/>
    <col min="10" max="10" width="17" bestFit="1" customWidth="1"/>
    <col min="11" max="11" width="15.1640625" bestFit="1" customWidth="1"/>
    <col min="12" max="12" width="16" bestFit="1" customWidth="1"/>
    <col min="13" max="13" width="13.5" bestFit="1" customWidth="1"/>
  </cols>
  <sheetData>
    <row r="1" spans="1:13" ht="24" x14ac:dyDescent="0.3">
      <c r="B1" s="8" t="s">
        <v>385</v>
      </c>
    </row>
    <row r="3" spans="1:13" ht="17" x14ac:dyDescent="0.2">
      <c r="B3" s="59" t="s">
        <v>170</v>
      </c>
      <c r="C3" s="59" t="s">
        <v>293</v>
      </c>
      <c r="D3" s="59" t="s">
        <v>103</v>
      </c>
      <c r="E3" s="59" t="s">
        <v>171</v>
      </c>
      <c r="F3" s="59" t="s">
        <v>172</v>
      </c>
      <c r="G3" s="59" t="s">
        <v>173</v>
      </c>
      <c r="H3" s="59" t="s">
        <v>174</v>
      </c>
      <c r="I3" s="59" t="s">
        <v>175</v>
      </c>
      <c r="J3" s="59" t="s">
        <v>16</v>
      </c>
      <c r="K3" s="59" t="s">
        <v>177</v>
      </c>
      <c r="L3" s="59" t="s">
        <v>178</v>
      </c>
      <c r="M3" s="59" t="s">
        <v>179</v>
      </c>
    </row>
    <row r="4" spans="1:13" ht="17" x14ac:dyDescent="0.2">
      <c r="A4" s="6"/>
      <c r="B4" s="59">
        <v>50</v>
      </c>
      <c r="C4" s="59" t="s">
        <v>386</v>
      </c>
      <c r="D4" s="59" t="s">
        <v>219</v>
      </c>
      <c r="E4" s="59" t="s">
        <v>164</v>
      </c>
      <c r="F4" s="59" t="s">
        <v>214</v>
      </c>
      <c r="G4" s="59" t="s">
        <v>164</v>
      </c>
      <c r="H4" s="59" t="s">
        <v>164</v>
      </c>
      <c r="I4" s="59"/>
      <c r="J4" s="59"/>
      <c r="K4" s="59"/>
      <c r="L4" s="65"/>
      <c r="M4" s="2" t="s">
        <v>387</v>
      </c>
    </row>
    <row r="5" spans="1:13" ht="17" x14ac:dyDescent="0.2">
      <c r="A5" s="6"/>
      <c r="B5" s="59">
        <v>51</v>
      </c>
      <c r="C5" s="59" t="s">
        <v>386</v>
      </c>
      <c r="D5" s="59" t="s">
        <v>388</v>
      </c>
      <c r="E5" s="59" t="s">
        <v>164</v>
      </c>
      <c r="F5" s="59" t="s">
        <v>197</v>
      </c>
      <c r="G5" s="59" t="s">
        <v>164</v>
      </c>
      <c r="H5" s="59" t="s">
        <v>164</v>
      </c>
      <c r="I5" s="59"/>
      <c r="J5" s="59"/>
      <c r="K5" s="59"/>
      <c r="L5" s="59"/>
      <c r="M5" s="72">
        <v>2925</v>
      </c>
    </row>
    <row r="6" spans="1:13" ht="17" x14ac:dyDescent="0.2">
      <c r="A6" s="6"/>
      <c r="B6" s="59">
        <v>52</v>
      </c>
      <c r="C6" s="59" t="s">
        <v>386</v>
      </c>
      <c r="D6" s="59" t="s">
        <v>389</v>
      </c>
      <c r="E6" s="59" t="s">
        <v>164</v>
      </c>
      <c r="F6" s="59" t="s">
        <v>197</v>
      </c>
      <c r="G6" s="59" t="s">
        <v>164</v>
      </c>
      <c r="H6" s="59" t="s">
        <v>164</v>
      </c>
      <c r="I6" s="59"/>
      <c r="J6" s="59"/>
      <c r="K6" s="59"/>
      <c r="L6" s="59"/>
      <c r="M6" s="72">
        <v>1607</v>
      </c>
    </row>
    <row r="7" spans="1:13" ht="17" x14ac:dyDescent="0.2">
      <c r="A7" s="6"/>
      <c r="B7" s="59">
        <v>53</v>
      </c>
      <c r="C7" s="59" t="s">
        <v>390</v>
      </c>
      <c r="D7" s="59" t="s">
        <v>391</v>
      </c>
      <c r="E7" s="59" t="s">
        <v>164</v>
      </c>
      <c r="F7" s="59" t="s">
        <v>214</v>
      </c>
      <c r="G7" s="59" t="s">
        <v>164</v>
      </c>
      <c r="H7" s="59" t="s">
        <v>164</v>
      </c>
      <c r="I7" s="59"/>
      <c r="J7" s="59"/>
      <c r="K7" s="59"/>
      <c r="L7" s="59"/>
      <c r="M7" s="2"/>
    </row>
    <row r="8" spans="1:13" ht="17" x14ac:dyDescent="0.2">
      <c r="A8" s="6"/>
      <c r="B8" s="59">
        <v>54</v>
      </c>
      <c r="C8" s="59" t="s">
        <v>390</v>
      </c>
      <c r="D8" s="59" t="s">
        <v>392</v>
      </c>
      <c r="E8" s="59" t="s">
        <v>164</v>
      </c>
      <c r="F8" s="59" t="s">
        <v>214</v>
      </c>
      <c r="G8" s="59" t="s">
        <v>164</v>
      </c>
      <c r="H8" s="59" t="s">
        <v>164</v>
      </c>
      <c r="I8" s="59"/>
      <c r="J8" s="59"/>
      <c r="K8" s="59"/>
      <c r="L8" s="59"/>
      <c r="M8" s="2"/>
    </row>
    <row r="9" spans="1:13" ht="17" x14ac:dyDescent="0.2">
      <c r="A9" s="6"/>
      <c r="B9" s="59">
        <v>55</v>
      </c>
      <c r="C9" s="59" t="s">
        <v>393</v>
      </c>
      <c r="D9" s="59" t="s">
        <v>220</v>
      </c>
      <c r="E9" s="59" t="s">
        <v>164</v>
      </c>
      <c r="F9" s="59" t="s">
        <v>214</v>
      </c>
      <c r="G9" s="59" t="s">
        <v>164</v>
      </c>
      <c r="H9" s="59" t="s">
        <v>164</v>
      </c>
      <c r="I9" s="59"/>
      <c r="J9" s="59"/>
      <c r="K9" s="59"/>
      <c r="L9" s="59"/>
      <c r="M9" s="2"/>
    </row>
    <row r="10" spans="1:13" ht="17" x14ac:dyDescent="0.2">
      <c r="A10" s="6"/>
      <c r="B10" s="59">
        <v>56</v>
      </c>
      <c r="C10" s="59" t="s">
        <v>393</v>
      </c>
      <c r="D10" s="59" t="s">
        <v>221</v>
      </c>
      <c r="E10" s="59" t="s">
        <v>164</v>
      </c>
      <c r="F10" s="59" t="s">
        <v>214</v>
      </c>
      <c r="G10" s="59" t="s">
        <v>164</v>
      </c>
      <c r="H10" s="59" t="s">
        <v>164</v>
      </c>
      <c r="I10" s="59"/>
      <c r="J10" s="59"/>
      <c r="K10" s="65"/>
      <c r="L10" s="59"/>
      <c r="M10" s="2"/>
    </row>
    <row r="11" spans="1:13" ht="17" x14ac:dyDescent="0.2">
      <c r="A11" s="6"/>
      <c r="B11" s="66" t="s">
        <v>394</v>
      </c>
      <c r="C11" s="66"/>
      <c r="D11" s="66"/>
      <c r="E11" s="66"/>
      <c r="F11" s="66"/>
      <c r="G11" s="66"/>
      <c r="H11" s="66"/>
      <c r="I11" s="66">
        <v>0</v>
      </c>
      <c r="J11" s="66">
        <v>0</v>
      </c>
      <c r="K11" s="67">
        <v>0</v>
      </c>
      <c r="L11" s="66">
        <v>0</v>
      </c>
      <c r="M11" s="67">
        <v>4532</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5"/>
  <sheetViews>
    <sheetView workbookViewId="0">
      <selection activeCell="B1" sqref="B1"/>
    </sheetView>
  </sheetViews>
  <sheetFormatPr baseColWidth="10" defaultColWidth="11" defaultRowHeight="16" x14ac:dyDescent="0.2"/>
  <cols>
    <col min="2" max="2" width="13.33203125" style="3" bestFit="1" customWidth="1"/>
    <col min="3" max="13" width="10.83203125" style="1"/>
  </cols>
  <sheetData>
    <row r="1" spans="1:14" ht="24" x14ac:dyDescent="0.3">
      <c r="B1" s="7" t="s">
        <v>395</v>
      </c>
    </row>
    <row r="2" spans="1:14" ht="17" thickBot="1" x14ac:dyDescent="0.25">
      <c r="A2" s="6"/>
      <c r="B2" s="4"/>
      <c r="C2" s="5"/>
      <c r="D2" s="5"/>
      <c r="E2" s="5"/>
      <c r="F2" s="5"/>
      <c r="G2" s="5"/>
      <c r="H2" s="5"/>
      <c r="I2" s="5"/>
      <c r="J2" s="5"/>
      <c r="K2" s="5"/>
      <c r="L2" s="5"/>
      <c r="M2" s="5"/>
    </row>
    <row r="3" spans="1:14" x14ac:dyDescent="0.2">
      <c r="A3" s="6"/>
      <c r="B3" s="119" t="s">
        <v>49</v>
      </c>
      <c r="C3" s="120"/>
      <c r="D3" s="120"/>
      <c r="E3" s="120"/>
      <c r="F3" s="120"/>
      <c r="G3" s="120"/>
      <c r="H3" s="120"/>
      <c r="I3" s="120"/>
      <c r="J3" s="120"/>
      <c r="K3" s="120"/>
      <c r="L3" s="120"/>
      <c r="M3" s="121"/>
      <c r="N3" s="56"/>
    </row>
    <row r="4" spans="1:14" x14ac:dyDescent="0.2">
      <c r="A4" s="6"/>
      <c r="B4" s="19" t="s">
        <v>61</v>
      </c>
      <c r="C4" s="15" t="s">
        <v>129</v>
      </c>
      <c r="D4" s="15" t="s">
        <v>130</v>
      </c>
      <c r="E4" s="15" t="s">
        <v>131</v>
      </c>
      <c r="F4" s="15" t="s">
        <v>132</v>
      </c>
      <c r="G4" s="15" t="s">
        <v>133</v>
      </c>
      <c r="H4" s="15" t="s">
        <v>134</v>
      </c>
      <c r="I4" s="15" t="s">
        <v>135</v>
      </c>
      <c r="J4" s="15" t="s">
        <v>136</v>
      </c>
      <c r="K4" s="15" t="s">
        <v>137</v>
      </c>
      <c r="L4" s="15" t="s">
        <v>166</v>
      </c>
      <c r="M4" s="15" t="s">
        <v>80</v>
      </c>
    </row>
    <row r="5" spans="1:14" x14ac:dyDescent="0.2">
      <c r="A5" s="6"/>
      <c r="B5" s="17" t="s">
        <v>60</v>
      </c>
      <c r="C5" s="28">
        <v>0</v>
      </c>
      <c r="D5" s="28">
        <v>0</v>
      </c>
      <c r="E5" s="28">
        <v>0</v>
      </c>
      <c r="F5" s="28">
        <v>0</v>
      </c>
      <c r="G5" s="28">
        <v>0</v>
      </c>
      <c r="H5" s="28">
        <v>0</v>
      </c>
      <c r="I5" s="28">
        <v>1600</v>
      </c>
      <c r="J5" s="28">
        <v>0</v>
      </c>
      <c r="K5" s="28">
        <v>3000</v>
      </c>
      <c r="L5" s="28">
        <v>0</v>
      </c>
      <c r="M5" s="29">
        <v>4600</v>
      </c>
    </row>
    <row r="6" spans="1:14" x14ac:dyDescent="0.2">
      <c r="A6" s="6"/>
      <c r="B6" s="17" t="s">
        <v>62</v>
      </c>
      <c r="C6" s="28">
        <v>0</v>
      </c>
      <c r="D6" s="28">
        <v>0</v>
      </c>
      <c r="E6" s="28">
        <v>0</v>
      </c>
      <c r="F6" s="28">
        <v>0</v>
      </c>
      <c r="G6" s="28">
        <v>200</v>
      </c>
      <c r="H6" s="28">
        <v>0</v>
      </c>
      <c r="I6" s="28">
        <v>0</v>
      </c>
      <c r="J6" s="28">
        <v>0</v>
      </c>
      <c r="K6" s="28">
        <v>0</v>
      </c>
      <c r="L6" s="28">
        <v>0</v>
      </c>
      <c r="M6" s="29">
        <v>200</v>
      </c>
    </row>
    <row r="7" spans="1:14" x14ac:dyDescent="0.2">
      <c r="A7" s="6"/>
      <c r="B7" s="17" t="s">
        <v>56</v>
      </c>
      <c r="C7" s="28">
        <v>0</v>
      </c>
      <c r="D7" s="28">
        <v>0</v>
      </c>
      <c r="E7" s="28">
        <v>0</v>
      </c>
      <c r="F7" s="28">
        <v>120</v>
      </c>
      <c r="G7" s="28">
        <v>0</v>
      </c>
      <c r="H7" s="28">
        <v>846</v>
      </c>
      <c r="I7" s="28">
        <v>0</v>
      </c>
      <c r="J7" s="28">
        <v>0</v>
      </c>
      <c r="K7" s="28">
        <v>1000</v>
      </c>
      <c r="L7" s="28">
        <v>0</v>
      </c>
      <c r="M7" s="29">
        <v>1966</v>
      </c>
    </row>
    <row r="8" spans="1:14" x14ac:dyDescent="0.2">
      <c r="A8" s="6"/>
      <c r="B8" s="17" t="s">
        <v>78</v>
      </c>
      <c r="C8" s="28">
        <v>0</v>
      </c>
      <c r="D8" s="28">
        <v>0</v>
      </c>
      <c r="E8" s="28">
        <v>0</v>
      </c>
      <c r="F8" s="28">
        <v>0</v>
      </c>
      <c r="G8" s="28">
        <v>0</v>
      </c>
      <c r="H8" s="28">
        <v>0</v>
      </c>
      <c r="I8" s="28">
        <v>0</v>
      </c>
      <c r="J8" s="28">
        <v>0</v>
      </c>
      <c r="K8" s="28">
        <v>0</v>
      </c>
      <c r="L8" s="28">
        <v>0</v>
      </c>
      <c r="M8" s="29">
        <v>0</v>
      </c>
    </row>
    <row r="9" spans="1:14" x14ac:dyDescent="0.2">
      <c r="A9" s="6"/>
      <c r="B9" s="17" t="s">
        <v>51</v>
      </c>
      <c r="C9" s="28">
        <v>0</v>
      </c>
      <c r="D9" s="28">
        <v>12</v>
      </c>
      <c r="E9" s="28">
        <v>0</v>
      </c>
      <c r="F9" s="28">
        <v>0</v>
      </c>
      <c r="G9" s="28">
        <v>0</v>
      </c>
      <c r="H9" s="28">
        <v>0</v>
      </c>
      <c r="I9" s="28">
        <v>144</v>
      </c>
      <c r="J9" s="28">
        <v>0</v>
      </c>
      <c r="K9" s="28">
        <v>0</v>
      </c>
      <c r="L9" s="28">
        <v>0</v>
      </c>
      <c r="M9" s="29">
        <v>156</v>
      </c>
    </row>
    <row r="10" spans="1:14" x14ac:dyDescent="0.2">
      <c r="A10" s="6"/>
      <c r="B10" s="17" t="s">
        <v>57</v>
      </c>
      <c r="C10" s="28">
        <v>0</v>
      </c>
      <c r="D10" s="28">
        <v>268</v>
      </c>
      <c r="E10" s="28">
        <v>0</v>
      </c>
      <c r="F10" s="28">
        <v>809</v>
      </c>
      <c r="G10" s="28">
        <v>0</v>
      </c>
      <c r="H10" s="28">
        <v>0</v>
      </c>
      <c r="I10" s="28">
        <v>0</v>
      </c>
      <c r="J10" s="28">
        <v>0</v>
      </c>
      <c r="K10" s="28">
        <v>0</v>
      </c>
      <c r="L10" s="28">
        <v>0</v>
      </c>
      <c r="M10" s="29">
        <v>1077</v>
      </c>
    </row>
    <row r="11" spans="1:14" x14ac:dyDescent="0.2">
      <c r="A11" s="6"/>
      <c r="B11" s="17" t="s">
        <v>52</v>
      </c>
      <c r="C11" s="28">
        <v>0</v>
      </c>
      <c r="D11" s="28">
        <v>804</v>
      </c>
      <c r="E11" s="28">
        <v>0</v>
      </c>
      <c r="F11" s="28">
        <v>1684</v>
      </c>
      <c r="G11" s="28">
        <v>2034</v>
      </c>
      <c r="H11" s="28">
        <v>1600</v>
      </c>
      <c r="I11" s="28">
        <v>0</v>
      </c>
      <c r="J11" s="28">
        <v>1170</v>
      </c>
      <c r="K11" s="28">
        <v>2000</v>
      </c>
      <c r="L11" s="28">
        <v>0</v>
      </c>
      <c r="M11" s="29">
        <v>9292</v>
      </c>
    </row>
    <row r="12" spans="1:14" x14ac:dyDescent="0.2">
      <c r="A12" s="6"/>
      <c r="B12" s="17" t="s">
        <v>55</v>
      </c>
      <c r="C12" s="28">
        <v>0</v>
      </c>
      <c r="D12" s="28">
        <v>0</v>
      </c>
      <c r="E12" s="28">
        <v>1100</v>
      </c>
      <c r="F12" s="28">
        <v>0</v>
      </c>
      <c r="G12" s="28">
        <v>1510</v>
      </c>
      <c r="H12" s="28">
        <v>0</v>
      </c>
      <c r="I12" s="28">
        <v>1148</v>
      </c>
      <c r="J12" s="28">
        <v>0</v>
      </c>
      <c r="K12" s="28">
        <v>0</v>
      </c>
      <c r="L12" s="28">
        <v>0</v>
      </c>
      <c r="M12" s="29">
        <v>3758</v>
      </c>
    </row>
    <row r="13" spans="1:14" x14ac:dyDescent="0.2">
      <c r="A13" s="6"/>
      <c r="B13" s="17" t="s">
        <v>54</v>
      </c>
      <c r="C13" s="28">
        <v>0</v>
      </c>
      <c r="D13" s="28">
        <v>0</v>
      </c>
      <c r="E13" s="28">
        <v>816</v>
      </c>
      <c r="F13" s="28">
        <v>1260</v>
      </c>
      <c r="G13" s="28">
        <v>0</v>
      </c>
      <c r="H13" s="28">
        <v>1600</v>
      </c>
      <c r="I13" s="28">
        <v>0</v>
      </c>
      <c r="J13" s="28">
        <v>523</v>
      </c>
      <c r="K13" s="28">
        <v>0</v>
      </c>
      <c r="L13" s="28">
        <v>1645</v>
      </c>
      <c r="M13" s="29">
        <v>5844</v>
      </c>
    </row>
    <row r="14" spans="1:14" x14ac:dyDescent="0.2">
      <c r="A14" s="6"/>
      <c r="B14" s="17" t="s">
        <v>79</v>
      </c>
      <c r="C14" s="28">
        <v>0</v>
      </c>
      <c r="D14" s="28">
        <v>0</v>
      </c>
      <c r="E14" s="28">
        <v>0</v>
      </c>
      <c r="F14" s="28">
        <v>0</v>
      </c>
      <c r="G14" s="28">
        <v>800</v>
      </c>
      <c r="H14" s="28">
        <v>800</v>
      </c>
      <c r="I14" s="28">
        <v>800</v>
      </c>
      <c r="J14" s="28">
        <v>0</v>
      </c>
      <c r="K14" s="28">
        <v>0</v>
      </c>
      <c r="L14" s="28">
        <v>0</v>
      </c>
      <c r="M14" s="29">
        <v>2400</v>
      </c>
    </row>
    <row r="15" spans="1:14" x14ac:dyDescent="0.2">
      <c r="A15" s="6"/>
      <c r="B15" s="17" t="s">
        <v>59</v>
      </c>
      <c r="C15" s="28">
        <v>0</v>
      </c>
      <c r="D15" s="28">
        <v>21</v>
      </c>
      <c r="E15" s="28">
        <v>0</v>
      </c>
      <c r="F15" s="28">
        <v>0</v>
      </c>
      <c r="G15" s="28">
        <v>0</v>
      </c>
      <c r="H15" s="28">
        <v>0</v>
      </c>
      <c r="I15" s="28">
        <v>0</v>
      </c>
      <c r="J15" s="28">
        <v>0</v>
      </c>
      <c r="K15" s="28">
        <v>0</v>
      </c>
      <c r="L15" s="28">
        <v>0</v>
      </c>
      <c r="M15" s="29">
        <v>21</v>
      </c>
    </row>
    <row r="16" spans="1:14" x14ac:dyDescent="0.2">
      <c r="A16" s="6"/>
      <c r="B16" s="17" t="s">
        <v>53</v>
      </c>
      <c r="C16" s="28">
        <v>0</v>
      </c>
      <c r="D16" s="28">
        <v>0</v>
      </c>
      <c r="E16" s="28">
        <v>132</v>
      </c>
      <c r="F16" s="28">
        <v>925</v>
      </c>
      <c r="G16" s="28">
        <v>0</v>
      </c>
      <c r="H16" s="28">
        <v>1000</v>
      </c>
      <c r="I16" s="28">
        <v>0</v>
      </c>
      <c r="J16" s="28">
        <v>0</v>
      </c>
      <c r="K16" s="28">
        <v>0</v>
      </c>
      <c r="L16" s="28">
        <v>0</v>
      </c>
      <c r="M16" s="29">
        <v>2057</v>
      </c>
    </row>
    <row r="17" spans="1:14" x14ac:dyDescent="0.2">
      <c r="A17" s="6"/>
      <c r="B17" s="17" t="s">
        <v>58</v>
      </c>
      <c r="C17" s="28">
        <v>0</v>
      </c>
      <c r="D17" s="28">
        <v>0</v>
      </c>
      <c r="E17" s="28">
        <v>2587</v>
      </c>
      <c r="F17" s="28">
        <v>0</v>
      </c>
      <c r="G17" s="28">
        <v>0</v>
      </c>
      <c r="H17" s="28">
        <v>0</v>
      </c>
      <c r="I17" s="28">
        <v>0</v>
      </c>
      <c r="J17" s="28">
        <v>0</v>
      </c>
      <c r="K17" s="28">
        <v>0</v>
      </c>
      <c r="L17" s="28">
        <v>0</v>
      </c>
      <c r="M17" s="29">
        <v>2587</v>
      </c>
    </row>
    <row r="18" spans="1:14" x14ac:dyDescent="0.2">
      <c r="A18" s="6"/>
      <c r="B18" s="19" t="s">
        <v>80</v>
      </c>
      <c r="C18" s="29">
        <v>0</v>
      </c>
      <c r="D18" s="29">
        <v>1105</v>
      </c>
      <c r="E18" s="29">
        <v>4635</v>
      </c>
      <c r="F18" s="29">
        <v>4798</v>
      </c>
      <c r="G18" s="29">
        <v>4544</v>
      </c>
      <c r="H18" s="29">
        <v>5846</v>
      </c>
      <c r="I18" s="29">
        <v>3692</v>
      </c>
      <c r="J18" s="29">
        <v>1693</v>
      </c>
      <c r="K18" s="29">
        <v>6000</v>
      </c>
      <c r="L18" s="29">
        <v>1645</v>
      </c>
      <c r="M18" s="29">
        <v>33958</v>
      </c>
    </row>
    <row r="19" spans="1:14" ht="17" thickBot="1" x14ac:dyDescent="0.25">
      <c r="A19" s="6"/>
      <c r="B19" s="4"/>
      <c r="C19" s="5"/>
      <c r="D19" s="5"/>
      <c r="E19" s="5"/>
      <c r="F19" s="5"/>
      <c r="G19" s="5"/>
      <c r="H19" s="5"/>
      <c r="I19" s="5"/>
      <c r="J19" s="5"/>
      <c r="K19" s="5"/>
      <c r="L19" s="5"/>
      <c r="M19" s="5"/>
    </row>
    <row r="20" spans="1:14" x14ac:dyDescent="0.2">
      <c r="A20" s="6"/>
      <c r="B20" s="119" t="s">
        <v>50</v>
      </c>
      <c r="C20" s="120"/>
      <c r="D20" s="120"/>
      <c r="E20" s="120"/>
      <c r="F20" s="120"/>
      <c r="G20" s="120"/>
      <c r="H20" s="120"/>
      <c r="I20" s="120"/>
      <c r="J20" s="120"/>
      <c r="K20" s="120"/>
      <c r="L20" s="120"/>
      <c r="M20" s="121"/>
      <c r="N20" s="56"/>
    </row>
    <row r="21" spans="1:14" x14ac:dyDescent="0.2">
      <c r="A21" s="6"/>
      <c r="B21" s="21" t="s">
        <v>61</v>
      </c>
      <c r="C21" s="24">
        <v>2022</v>
      </c>
      <c r="D21" s="24">
        <v>2023</v>
      </c>
      <c r="E21" s="24">
        <v>2024</v>
      </c>
      <c r="F21" s="24">
        <v>2025</v>
      </c>
      <c r="G21" s="24">
        <v>2026</v>
      </c>
      <c r="H21" s="24">
        <v>2027</v>
      </c>
      <c r="I21" s="24">
        <v>2028</v>
      </c>
      <c r="J21" s="24">
        <v>2029</v>
      </c>
      <c r="K21" s="24">
        <v>2030</v>
      </c>
      <c r="L21" s="24">
        <v>2031</v>
      </c>
      <c r="M21" s="25" t="s">
        <v>80</v>
      </c>
    </row>
    <row r="22" spans="1:14" x14ac:dyDescent="0.2">
      <c r="A22" s="6"/>
      <c r="B22" s="22" t="s">
        <v>60</v>
      </c>
      <c r="C22" s="52">
        <v>0</v>
      </c>
      <c r="D22" s="52">
        <v>0</v>
      </c>
      <c r="E22" s="52">
        <v>0</v>
      </c>
      <c r="F22" s="52">
        <v>0</v>
      </c>
      <c r="G22" s="52">
        <v>0</v>
      </c>
      <c r="H22" s="52">
        <v>0</v>
      </c>
      <c r="I22" s="52">
        <v>0</v>
      </c>
      <c r="J22" s="52">
        <v>0</v>
      </c>
      <c r="K22" s="52">
        <v>100</v>
      </c>
      <c r="L22" s="52">
        <v>200</v>
      </c>
      <c r="M22" s="53">
        <v>300</v>
      </c>
    </row>
    <row r="23" spans="1:14" x14ac:dyDescent="0.2">
      <c r="A23" s="6"/>
      <c r="B23" s="23" t="s">
        <v>62</v>
      </c>
      <c r="C23" s="54">
        <v>0</v>
      </c>
      <c r="D23" s="54">
        <v>0</v>
      </c>
      <c r="E23" s="54">
        <v>0</v>
      </c>
      <c r="F23" s="54">
        <v>315</v>
      </c>
      <c r="G23" s="54">
        <v>0</v>
      </c>
      <c r="H23" s="54">
        <v>0</v>
      </c>
      <c r="I23" s="54">
        <v>0</v>
      </c>
      <c r="J23" s="54">
        <v>800</v>
      </c>
      <c r="K23" s="54">
        <v>0</v>
      </c>
      <c r="L23" s="54">
        <v>1000</v>
      </c>
      <c r="M23" s="36">
        <v>2115</v>
      </c>
    </row>
    <row r="24" spans="1:14" x14ac:dyDescent="0.2">
      <c r="A24" s="6"/>
      <c r="B24" s="22" t="s">
        <v>56</v>
      </c>
      <c r="C24" s="52">
        <v>0</v>
      </c>
      <c r="D24" s="52">
        <v>0</v>
      </c>
      <c r="E24" s="52">
        <v>0</v>
      </c>
      <c r="F24" s="52">
        <v>0</v>
      </c>
      <c r="G24" s="52">
        <v>120</v>
      </c>
      <c r="H24" s="52">
        <v>0</v>
      </c>
      <c r="I24" s="52">
        <v>0</v>
      </c>
      <c r="J24" s="52">
        <v>0</v>
      </c>
      <c r="K24" s="52">
        <v>0</v>
      </c>
      <c r="L24" s="52">
        <v>0</v>
      </c>
      <c r="M24" s="53">
        <v>120</v>
      </c>
    </row>
    <row r="25" spans="1:14" x14ac:dyDescent="0.2">
      <c r="A25" s="6"/>
      <c r="B25" s="23" t="s">
        <v>78</v>
      </c>
      <c r="C25" s="54">
        <v>0</v>
      </c>
      <c r="D25" s="54">
        <v>0</v>
      </c>
      <c r="E25" s="54">
        <v>0</v>
      </c>
      <c r="F25" s="54">
        <v>0</v>
      </c>
      <c r="G25" s="54">
        <v>0</v>
      </c>
      <c r="H25" s="54">
        <v>0</v>
      </c>
      <c r="I25" s="54">
        <v>0</v>
      </c>
      <c r="J25" s="54">
        <v>0</v>
      </c>
      <c r="K25" s="54">
        <v>0</v>
      </c>
      <c r="L25" s="54">
        <v>0</v>
      </c>
      <c r="M25" s="36">
        <v>0</v>
      </c>
    </row>
    <row r="26" spans="1:14" x14ac:dyDescent="0.2">
      <c r="A26" s="6"/>
      <c r="B26" s="22" t="s">
        <v>51</v>
      </c>
      <c r="C26" s="52">
        <v>0</v>
      </c>
      <c r="D26" s="52">
        <v>0</v>
      </c>
      <c r="E26" s="52">
        <v>11</v>
      </c>
      <c r="F26" s="52">
        <v>0</v>
      </c>
      <c r="G26" s="52">
        <v>0</v>
      </c>
      <c r="H26" s="52">
        <v>0</v>
      </c>
      <c r="I26" s="52">
        <v>0</v>
      </c>
      <c r="J26" s="52">
        <v>0</v>
      </c>
      <c r="K26" s="52">
        <v>0</v>
      </c>
      <c r="L26" s="52">
        <v>0</v>
      </c>
      <c r="M26" s="53">
        <v>11</v>
      </c>
    </row>
    <row r="27" spans="1:14" x14ac:dyDescent="0.2">
      <c r="A27" s="6"/>
      <c r="B27" s="23" t="s">
        <v>57</v>
      </c>
      <c r="C27" s="54">
        <v>0</v>
      </c>
      <c r="D27" s="54">
        <v>0</v>
      </c>
      <c r="E27" s="54">
        <v>0</v>
      </c>
      <c r="F27" s="54">
        <v>268</v>
      </c>
      <c r="G27" s="54">
        <v>0</v>
      </c>
      <c r="H27" s="54">
        <v>400</v>
      </c>
      <c r="I27" s="54">
        <v>400</v>
      </c>
      <c r="J27" s="54">
        <v>400</v>
      </c>
      <c r="K27" s="54">
        <v>0</v>
      </c>
      <c r="L27" s="54">
        <v>500</v>
      </c>
      <c r="M27" s="36">
        <v>1968</v>
      </c>
    </row>
    <row r="28" spans="1:14" x14ac:dyDescent="0.2">
      <c r="A28" s="6"/>
      <c r="B28" s="22" t="s">
        <v>52</v>
      </c>
      <c r="C28" s="52">
        <v>0</v>
      </c>
      <c r="D28" s="52">
        <v>403</v>
      </c>
      <c r="E28" s="52">
        <v>403</v>
      </c>
      <c r="F28" s="52">
        <v>804</v>
      </c>
      <c r="G28" s="52">
        <v>0</v>
      </c>
      <c r="H28" s="52">
        <v>1404</v>
      </c>
      <c r="I28" s="52">
        <v>600</v>
      </c>
      <c r="J28" s="52">
        <v>600</v>
      </c>
      <c r="K28" s="52">
        <v>600</v>
      </c>
      <c r="L28" s="52">
        <v>600</v>
      </c>
      <c r="M28" s="53">
        <v>5414</v>
      </c>
    </row>
    <row r="29" spans="1:14" x14ac:dyDescent="0.2">
      <c r="A29" s="6"/>
      <c r="B29" s="23" t="s">
        <v>55</v>
      </c>
      <c r="C29" s="54">
        <v>0</v>
      </c>
      <c r="D29" s="54">
        <v>0</v>
      </c>
      <c r="E29" s="54">
        <v>1100</v>
      </c>
      <c r="F29" s="54">
        <v>0</v>
      </c>
      <c r="G29" s="54">
        <v>0</v>
      </c>
      <c r="H29" s="54">
        <v>761.6</v>
      </c>
      <c r="I29" s="54">
        <v>1518</v>
      </c>
      <c r="J29" s="54">
        <v>378</v>
      </c>
      <c r="K29" s="54">
        <v>1200</v>
      </c>
      <c r="L29" s="54">
        <v>1200</v>
      </c>
      <c r="M29" s="36">
        <v>6157.6</v>
      </c>
    </row>
    <row r="30" spans="1:14" x14ac:dyDescent="0.2">
      <c r="A30" s="6"/>
      <c r="B30" s="22" t="s">
        <v>54</v>
      </c>
      <c r="C30" s="52">
        <v>0</v>
      </c>
      <c r="D30" s="52">
        <v>132</v>
      </c>
      <c r="E30" s="52">
        <v>0</v>
      </c>
      <c r="F30" s="52">
        <v>924</v>
      </c>
      <c r="G30" s="52">
        <v>816</v>
      </c>
      <c r="H30" s="52">
        <v>1260</v>
      </c>
      <c r="I30" s="52">
        <v>1230</v>
      </c>
      <c r="J30" s="52">
        <v>1100</v>
      </c>
      <c r="K30" s="52">
        <v>1130</v>
      </c>
      <c r="L30" s="52">
        <v>0</v>
      </c>
      <c r="M30" s="53">
        <v>6592</v>
      </c>
    </row>
    <row r="31" spans="1:14" x14ac:dyDescent="0.2">
      <c r="A31" s="6"/>
      <c r="B31" s="23" t="s">
        <v>79</v>
      </c>
      <c r="C31" s="54">
        <v>0</v>
      </c>
      <c r="D31" s="54">
        <v>0</v>
      </c>
      <c r="E31" s="54">
        <v>0</v>
      </c>
      <c r="F31" s="54">
        <v>0</v>
      </c>
      <c r="G31" s="54">
        <v>0</v>
      </c>
      <c r="H31" s="54">
        <v>800</v>
      </c>
      <c r="I31" s="54">
        <v>0</v>
      </c>
      <c r="J31" s="54">
        <v>800</v>
      </c>
      <c r="K31" s="54">
        <v>1200</v>
      </c>
      <c r="L31" s="54">
        <v>0</v>
      </c>
      <c r="M31" s="36">
        <v>2800</v>
      </c>
    </row>
    <row r="32" spans="1:14" x14ac:dyDescent="0.2">
      <c r="A32" s="6"/>
      <c r="B32" s="22" t="s">
        <v>59</v>
      </c>
      <c r="C32" s="52">
        <v>0</v>
      </c>
      <c r="D32" s="52">
        <v>0</v>
      </c>
      <c r="E32" s="52">
        <v>20.7</v>
      </c>
      <c r="F32" s="52">
        <v>0</v>
      </c>
      <c r="G32" s="52">
        <v>0</v>
      </c>
      <c r="H32" s="52">
        <v>0</v>
      </c>
      <c r="I32" s="52">
        <v>0</v>
      </c>
      <c r="J32" s="52">
        <v>0</v>
      </c>
      <c r="K32" s="52">
        <v>0</v>
      </c>
      <c r="L32" s="52">
        <v>0</v>
      </c>
      <c r="M32" s="53">
        <v>20.7</v>
      </c>
    </row>
    <row r="33" spans="1:13" x14ac:dyDescent="0.2">
      <c r="A33" s="6"/>
      <c r="B33" s="23" t="s">
        <v>53</v>
      </c>
      <c r="C33" s="54">
        <v>0</v>
      </c>
      <c r="D33" s="54">
        <v>0</v>
      </c>
      <c r="E33" s="54">
        <v>0</v>
      </c>
      <c r="F33" s="54">
        <v>400</v>
      </c>
      <c r="G33" s="54">
        <v>0</v>
      </c>
      <c r="H33" s="54">
        <v>0</v>
      </c>
      <c r="I33" s="54">
        <v>0</v>
      </c>
      <c r="J33" s="54">
        <v>600</v>
      </c>
      <c r="K33" s="54">
        <v>0</v>
      </c>
      <c r="L33" s="54">
        <v>0</v>
      </c>
      <c r="M33" s="36">
        <v>1000</v>
      </c>
    </row>
    <row r="34" spans="1:13" x14ac:dyDescent="0.2">
      <c r="B34" s="22" t="s">
        <v>58</v>
      </c>
      <c r="C34" s="52">
        <v>0</v>
      </c>
      <c r="D34" s="52">
        <v>0</v>
      </c>
      <c r="E34" s="52">
        <v>0</v>
      </c>
      <c r="F34" s="52">
        <v>880</v>
      </c>
      <c r="G34" s="52">
        <v>1760</v>
      </c>
      <c r="H34" s="52">
        <v>0</v>
      </c>
      <c r="I34" s="52">
        <v>0</v>
      </c>
      <c r="J34" s="52">
        <v>0</v>
      </c>
      <c r="K34" s="52">
        <v>0</v>
      </c>
      <c r="L34" s="52">
        <v>0</v>
      </c>
      <c r="M34" s="53">
        <v>2640</v>
      </c>
    </row>
    <row r="35" spans="1:13" ht="17" thickBot="1" x14ac:dyDescent="0.25">
      <c r="B35" s="20" t="s">
        <v>80</v>
      </c>
      <c r="C35" s="34">
        <v>0</v>
      </c>
      <c r="D35" s="34">
        <v>535</v>
      </c>
      <c r="E35" s="34">
        <v>1534.7</v>
      </c>
      <c r="F35" s="34">
        <v>3591</v>
      </c>
      <c r="G35" s="34">
        <v>2696</v>
      </c>
      <c r="H35" s="34">
        <v>4625.6000000000004</v>
      </c>
      <c r="I35" s="34">
        <v>3748</v>
      </c>
      <c r="J35" s="34">
        <v>4678</v>
      </c>
      <c r="K35" s="34">
        <v>4230</v>
      </c>
      <c r="L35" s="34">
        <v>3500</v>
      </c>
      <c r="M35" s="35">
        <v>29138.3</v>
      </c>
    </row>
  </sheetData>
  <mergeCells count="2">
    <mergeCell ref="B3:M3"/>
    <mergeCell ref="B20:M20"/>
  </mergeCell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4FE68-EFA7-4D4D-9BC2-04D48F3FDD10}">
  <dimension ref="B1:F29"/>
  <sheetViews>
    <sheetView workbookViewId="0">
      <selection activeCell="E20" sqref="E20"/>
    </sheetView>
  </sheetViews>
  <sheetFormatPr baseColWidth="10" defaultRowHeight="16" x14ac:dyDescent="0.2"/>
  <cols>
    <col min="2" max="2" width="26.5" customWidth="1"/>
    <col min="3" max="3" width="15.33203125" customWidth="1"/>
    <col min="4" max="4" width="12.6640625" customWidth="1"/>
    <col min="5" max="5" width="13" customWidth="1"/>
    <col min="6" max="6" width="40.83203125" customWidth="1"/>
  </cols>
  <sheetData>
    <row r="1" spans="2:6" ht="24" x14ac:dyDescent="0.3">
      <c r="B1" s="7" t="s">
        <v>396</v>
      </c>
    </row>
    <row r="3" spans="2:6" ht="17" x14ac:dyDescent="0.2">
      <c r="B3" s="59" t="s">
        <v>397</v>
      </c>
      <c r="C3" s="59" t="s">
        <v>398</v>
      </c>
      <c r="D3" s="59" t="s">
        <v>399</v>
      </c>
      <c r="E3" s="59" t="s">
        <v>400</v>
      </c>
      <c r="F3" s="59" t="s">
        <v>84</v>
      </c>
    </row>
    <row r="4" spans="2:6" ht="17" x14ac:dyDescent="0.2">
      <c r="B4" s="59" t="s">
        <v>56</v>
      </c>
      <c r="C4" s="59" t="s">
        <v>202</v>
      </c>
      <c r="D4" s="59">
        <v>284</v>
      </c>
      <c r="E4" s="59">
        <v>2012</v>
      </c>
      <c r="F4" s="59" t="s">
        <v>401</v>
      </c>
    </row>
    <row r="5" spans="2:6" ht="34" x14ac:dyDescent="0.2">
      <c r="B5" s="59" t="s">
        <v>58</v>
      </c>
      <c r="C5" s="59" t="s">
        <v>209</v>
      </c>
      <c r="D5" s="59">
        <v>456</v>
      </c>
      <c r="E5" s="59">
        <v>2013</v>
      </c>
      <c r="F5" s="59" t="s">
        <v>402</v>
      </c>
    </row>
    <row r="6" spans="2:6" ht="17" x14ac:dyDescent="0.2">
      <c r="B6" s="59" t="s">
        <v>403</v>
      </c>
      <c r="C6" s="59" t="s">
        <v>192</v>
      </c>
      <c r="D6" s="59">
        <v>339</v>
      </c>
      <c r="E6" s="59">
        <v>2013</v>
      </c>
      <c r="F6" s="59" t="s">
        <v>404</v>
      </c>
    </row>
    <row r="7" spans="2:6" ht="17" x14ac:dyDescent="0.2">
      <c r="B7" s="59" t="s">
        <v>403</v>
      </c>
      <c r="C7" s="59" t="s">
        <v>193</v>
      </c>
      <c r="D7" s="59">
        <v>55</v>
      </c>
      <c r="E7" s="59">
        <v>2013</v>
      </c>
      <c r="F7" s="59" t="s">
        <v>405</v>
      </c>
    </row>
    <row r="8" spans="2:6" ht="17" x14ac:dyDescent="0.2">
      <c r="B8" s="59" t="s">
        <v>403</v>
      </c>
      <c r="C8" s="59" t="s">
        <v>300</v>
      </c>
      <c r="D8" s="59">
        <v>445</v>
      </c>
      <c r="E8" s="59">
        <v>2013</v>
      </c>
      <c r="F8" s="59" t="s">
        <v>404</v>
      </c>
    </row>
    <row r="9" spans="2:6" ht="17" x14ac:dyDescent="0.2">
      <c r="B9" s="59" t="s">
        <v>57</v>
      </c>
      <c r="C9" s="59" t="s">
        <v>206</v>
      </c>
      <c r="D9" s="59">
        <v>323</v>
      </c>
      <c r="E9" s="59">
        <v>2014</v>
      </c>
      <c r="F9" s="59" t="s">
        <v>401</v>
      </c>
    </row>
    <row r="10" spans="2:6" ht="17" x14ac:dyDescent="0.2">
      <c r="B10" s="59" t="s">
        <v>52</v>
      </c>
      <c r="C10" s="59" t="s">
        <v>182</v>
      </c>
      <c r="D10" s="59">
        <v>586</v>
      </c>
      <c r="E10" s="59">
        <v>2015</v>
      </c>
      <c r="F10" s="59" t="s">
        <v>406</v>
      </c>
    </row>
    <row r="11" spans="2:6" ht="17" x14ac:dyDescent="0.2">
      <c r="B11" s="59" t="s">
        <v>52</v>
      </c>
      <c r="C11" s="59" t="s">
        <v>183</v>
      </c>
      <c r="D11" s="59">
        <v>264</v>
      </c>
      <c r="E11" s="59">
        <v>2015</v>
      </c>
      <c r="F11" s="59" t="s">
        <v>405</v>
      </c>
    </row>
    <row r="12" spans="2:6" ht="17" x14ac:dyDescent="0.2">
      <c r="B12" s="59" t="s">
        <v>52</v>
      </c>
      <c r="C12" s="59" t="s">
        <v>305</v>
      </c>
      <c r="D12" s="59">
        <v>411</v>
      </c>
      <c r="E12" s="59">
        <v>2015</v>
      </c>
      <c r="F12" s="59" t="s">
        <v>404</v>
      </c>
    </row>
    <row r="13" spans="2:6" ht="17" x14ac:dyDescent="0.2">
      <c r="B13" s="59" t="s">
        <v>55</v>
      </c>
      <c r="C13" s="59" t="s">
        <v>201</v>
      </c>
      <c r="D13" s="59">
        <v>306</v>
      </c>
      <c r="E13" s="59">
        <v>2016</v>
      </c>
      <c r="F13" s="59" t="s">
        <v>404</v>
      </c>
    </row>
    <row r="14" spans="2:6" ht="17" x14ac:dyDescent="0.2">
      <c r="B14" s="59" t="s">
        <v>55</v>
      </c>
      <c r="C14" s="59" t="s">
        <v>349</v>
      </c>
      <c r="D14" s="59">
        <v>344</v>
      </c>
      <c r="E14" s="59">
        <v>2016</v>
      </c>
      <c r="F14" s="59" t="s">
        <v>404</v>
      </c>
    </row>
    <row r="15" spans="2:6" ht="17" x14ac:dyDescent="0.2">
      <c r="B15" s="59" t="s">
        <v>55</v>
      </c>
      <c r="C15" s="59" t="s">
        <v>199</v>
      </c>
      <c r="D15" s="59">
        <v>742</v>
      </c>
      <c r="E15" s="59">
        <v>2016</v>
      </c>
      <c r="F15" s="59" t="s">
        <v>404</v>
      </c>
    </row>
    <row r="16" spans="2:6" ht="17" x14ac:dyDescent="0.2">
      <c r="B16" s="59" t="s">
        <v>79</v>
      </c>
      <c r="C16" s="59" t="s">
        <v>212</v>
      </c>
      <c r="D16" s="59">
        <v>495</v>
      </c>
      <c r="E16" s="59">
        <v>2017</v>
      </c>
      <c r="F16" s="59" t="s">
        <v>404</v>
      </c>
    </row>
    <row r="17" spans="2:6" ht="17" x14ac:dyDescent="0.2">
      <c r="B17" s="59" t="s">
        <v>54</v>
      </c>
      <c r="C17" s="59" t="s">
        <v>198</v>
      </c>
      <c r="D17" s="59">
        <v>321</v>
      </c>
      <c r="E17" s="59">
        <v>2017</v>
      </c>
      <c r="F17" s="59" t="s">
        <v>404</v>
      </c>
    </row>
    <row r="18" spans="2:6" ht="17" x14ac:dyDescent="0.2">
      <c r="B18" s="59" t="s">
        <v>56</v>
      </c>
      <c r="C18" s="59" t="s">
        <v>204</v>
      </c>
      <c r="D18" s="59">
        <v>107</v>
      </c>
      <c r="E18" s="59">
        <v>2018</v>
      </c>
      <c r="F18" s="59" t="s">
        <v>401</v>
      </c>
    </row>
    <row r="19" spans="2:6" ht="17" x14ac:dyDescent="0.2">
      <c r="B19" s="59" t="s">
        <v>52</v>
      </c>
      <c r="C19" s="59" t="s">
        <v>187</v>
      </c>
      <c r="D19" s="59">
        <v>521</v>
      </c>
      <c r="E19" s="59">
        <v>2018</v>
      </c>
      <c r="F19" s="59" t="s">
        <v>401</v>
      </c>
    </row>
    <row r="20" spans="2:6" ht="17" x14ac:dyDescent="0.2">
      <c r="B20" s="59" t="s">
        <v>52</v>
      </c>
      <c r="C20" s="59" t="s">
        <v>189</v>
      </c>
      <c r="D20" s="59">
        <v>516</v>
      </c>
      <c r="E20" s="59">
        <v>2018</v>
      </c>
      <c r="F20" s="59" t="s">
        <v>404</v>
      </c>
    </row>
    <row r="21" spans="2:6" ht="17" x14ac:dyDescent="0.2">
      <c r="B21" s="59" t="s">
        <v>52</v>
      </c>
      <c r="C21" s="59" t="s">
        <v>191</v>
      </c>
      <c r="D21" s="59">
        <v>536</v>
      </c>
      <c r="E21" s="59">
        <v>2018</v>
      </c>
      <c r="F21" s="59" t="s">
        <v>401</v>
      </c>
    </row>
    <row r="22" spans="2:6" ht="17" x14ac:dyDescent="0.2">
      <c r="B22" s="59" t="s">
        <v>407</v>
      </c>
      <c r="C22" s="59" t="s">
        <v>327</v>
      </c>
      <c r="D22" s="59">
        <v>174</v>
      </c>
      <c r="E22" s="59">
        <v>2022</v>
      </c>
      <c r="F22" s="59" t="s">
        <v>408</v>
      </c>
    </row>
    <row r="23" spans="2:6" ht="17" x14ac:dyDescent="0.2">
      <c r="B23" s="59" t="s">
        <v>407</v>
      </c>
      <c r="C23" s="59" t="s">
        <v>330</v>
      </c>
      <c r="D23" s="59">
        <v>289</v>
      </c>
      <c r="E23" s="59">
        <v>2022</v>
      </c>
      <c r="F23" s="59" t="s">
        <v>408</v>
      </c>
    </row>
    <row r="24" spans="2:6" ht="17" x14ac:dyDescent="0.2">
      <c r="B24" s="59" t="s">
        <v>407</v>
      </c>
      <c r="C24" s="59" t="s">
        <v>333</v>
      </c>
      <c r="D24" s="59">
        <v>321</v>
      </c>
      <c r="E24" s="59">
        <v>2022</v>
      </c>
      <c r="F24" s="59" t="s">
        <v>408</v>
      </c>
    </row>
    <row r="25" spans="2:6" ht="17" x14ac:dyDescent="0.2">
      <c r="B25" s="59" t="s">
        <v>407</v>
      </c>
      <c r="C25" s="59" t="s">
        <v>336</v>
      </c>
      <c r="D25" s="59">
        <v>462</v>
      </c>
      <c r="E25" s="59">
        <v>2022</v>
      </c>
      <c r="F25" s="59" t="s">
        <v>408</v>
      </c>
    </row>
    <row r="26" spans="2:6" ht="17" x14ac:dyDescent="0.2">
      <c r="B26" s="59" t="s">
        <v>407</v>
      </c>
      <c r="C26" s="59" t="s">
        <v>339</v>
      </c>
      <c r="D26" s="59">
        <v>308</v>
      </c>
      <c r="E26" s="59">
        <v>2022</v>
      </c>
      <c r="F26" s="59" t="s">
        <v>408</v>
      </c>
    </row>
    <row r="27" spans="2:6" ht="17" x14ac:dyDescent="0.2">
      <c r="B27" s="59" t="s">
        <v>407</v>
      </c>
      <c r="C27" s="59" t="s">
        <v>342</v>
      </c>
      <c r="D27" s="59">
        <v>311</v>
      </c>
      <c r="E27" s="59">
        <v>2022</v>
      </c>
      <c r="F27" s="59" t="s">
        <v>408</v>
      </c>
    </row>
    <row r="28" spans="2:6" ht="17" x14ac:dyDescent="0.2">
      <c r="B28" s="59" t="s">
        <v>79</v>
      </c>
      <c r="C28" s="59" t="s">
        <v>377</v>
      </c>
      <c r="D28" s="59">
        <v>222</v>
      </c>
      <c r="E28" s="59">
        <v>2022</v>
      </c>
      <c r="F28" s="59" t="s">
        <v>408</v>
      </c>
    </row>
    <row r="29" spans="2:6" ht="17" x14ac:dyDescent="0.2">
      <c r="B29" s="59" t="s">
        <v>79</v>
      </c>
      <c r="C29" s="59" t="s">
        <v>380</v>
      </c>
      <c r="D29" s="59">
        <v>223</v>
      </c>
      <c r="E29" s="59">
        <v>2022</v>
      </c>
      <c r="F29" s="59" t="s">
        <v>408</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C6BAA-6DA3-6646-8D3E-BD6D970BFD3C}">
  <dimension ref="B1:G9"/>
  <sheetViews>
    <sheetView workbookViewId="0">
      <selection activeCell="E8" sqref="E8"/>
    </sheetView>
  </sheetViews>
  <sheetFormatPr baseColWidth="10" defaultRowHeight="16" x14ac:dyDescent="0.2"/>
  <cols>
    <col min="2" max="2" width="16.1640625" customWidth="1"/>
    <col min="3" max="3" width="21.5" customWidth="1"/>
    <col min="4" max="4" width="12.6640625" customWidth="1"/>
    <col min="5" max="5" width="13" customWidth="1"/>
    <col min="6" max="6" width="40.83203125" customWidth="1"/>
    <col min="7" max="7" width="14.1640625" bestFit="1" customWidth="1"/>
  </cols>
  <sheetData>
    <row r="1" spans="2:7" ht="24" x14ac:dyDescent="0.3">
      <c r="B1" s="7" t="s">
        <v>409</v>
      </c>
    </row>
    <row r="3" spans="2:7" ht="17" x14ac:dyDescent="0.2">
      <c r="B3" s="59" t="s">
        <v>398</v>
      </c>
      <c r="C3" s="59" t="s">
        <v>410</v>
      </c>
      <c r="D3" s="59" t="s">
        <v>171</v>
      </c>
      <c r="E3" s="59" t="s">
        <v>399</v>
      </c>
      <c r="F3" s="59" t="s">
        <v>411</v>
      </c>
      <c r="G3" s="2" t="s">
        <v>412</v>
      </c>
    </row>
    <row r="4" spans="2:7" ht="34" x14ac:dyDescent="0.2">
      <c r="B4" s="59" t="s">
        <v>327</v>
      </c>
      <c r="C4" s="59" t="s">
        <v>413</v>
      </c>
      <c r="D4" s="59" t="s">
        <v>317</v>
      </c>
      <c r="E4" s="59">
        <v>174</v>
      </c>
      <c r="F4" s="59">
        <v>523</v>
      </c>
      <c r="G4" s="73">
        <v>285000000</v>
      </c>
    </row>
    <row r="5" spans="2:7" ht="34" x14ac:dyDescent="0.2">
      <c r="B5" s="59" t="s">
        <v>330</v>
      </c>
      <c r="C5" s="59" t="s">
        <v>414</v>
      </c>
      <c r="D5" s="59" t="s">
        <v>329</v>
      </c>
      <c r="E5" s="59">
        <v>289</v>
      </c>
      <c r="F5" s="59">
        <v>868</v>
      </c>
      <c r="G5" s="73">
        <v>765000000</v>
      </c>
    </row>
    <row r="6" spans="2:7" ht="34" x14ac:dyDescent="0.2">
      <c r="B6" s="59" t="s">
        <v>333</v>
      </c>
      <c r="C6" s="59" t="s">
        <v>415</v>
      </c>
      <c r="D6" s="59" t="s">
        <v>332</v>
      </c>
      <c r="E6" s="59">
        <v>321</v>
      </c>
      <c r="F6" s="59">
        <v>964</v>
      </c>
      <c r="G6" s="73">
        <v>795000000</v>
      </c>
    </row>
    <row r="7" spans="2:7" ht="34" x14ac:dyDescent="0.2">
      <c r="B7" s="59" t="s">
        <v>336</v>
      </c>
      <c r="C7" s="59" t="s">
        <v>416</v>
      </c>
      <c r="D7" s="59" t="s">
        <v>335</v>
      </c>
      <c r="E7" s="59">
        <v>462</v>
      </c>
      <c r="F7" s="65">
        <v>1387</v>
      </c>
      <c r="G7" s="73">
        <v>1100000000</v>
      </c>
    </row>
    <row r="8" spans="2:7" ht="34" x14ac:dyDescent="0.2">
      <c r="B8" s="59" t="s">
        <v>339</v>
      </c>
      <c r="C8" s="59" t="s">
        <v>417</v>
      </c>
      <c r="D8" s="59" t="s">
        <v>338</v>
      </c>
      <c r="E8" s="59">
        <v>308</v>
      </c>
      <c r="F8" s="59">
        <v>924</v>
      </c>
      <c r="G8" s="73">
        <v>780000000</v>
      </c>
    </row>
    <row r="9" spans="2:7" ht="34" x14ac:dyDescent="0.2">
      <c r="B9" s="59" t="s">
        <v>342</v>
      </c>
      <c r="C9" s="59" t="s">
        <v>418</v>
      </c>
      <c r="D9" s="59" t="s">
        <v>419</v>
      </c>
      <c r="E9" s="59">
        <v>311</v>
      </c>
      <c r="F9" s="59">
        <v>934</v>
      </c>
      <c r="G9" s="73">
        <v>645000000</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E9681-E127-8047-9556-181B98110B07}">
  <dimension ref="B1:F5"/>
  <sheetViews>
    <sheetView workbookViewId="0">
      <selection activeCell="B17" sqref="B17"/>
    </sheetView>
  </sheetViews>
  <sheetFormatPr baseColWidth="10" defaultRowHeight="16" x14ac:dyDescent="0.2"/>
  <cols>
    <col min="2" max="2" width="16.1640625" customWidth="1"/>
    <col min="3" max="3" width="21.5" customWidth="1"/>
    <col min="4" max="4" width="10.5" bestFit="1" customWidth="1"/>
    <col min="5" max="5" width="13.5" bestFit="1" customWidth="1"/>
    <col min="6" max="6" width="12.6640625" bestFit="1" customWidth="1"/>
  </cols>
  <sheetData>
    <row r="1" spans="2:6" ht="24" x14ac:dyDescent="0.3">
      <c r="B1" s="7" t="s">
        <v>420</v>
      </c>
    </row>
    <row r="3" spans="2:6" ht="34" x14ac:dyDescent="0.2">
      <c r="B3" s="59" t="s">
        <v>398</v>
      </c>
      <c r="C3" s="59" t="s">
        <v>410</v>
      </c>
      <c r="D3" s="59" t="s">
        <v>399</v>
      </c>
      <c r="E3" s="59" t="s">
        <v>411</v>
      </c>
      <c r="F3" s="59" t="s">
        <v>412</v>
      </c>
    </row>
    <row r="4" spans="2:6" ht="34" x14ac:dyDescent="0.2">
      <c r="B4" s="59" t="s">
        <v>377</v>
      </c>
      <c r="C4" s="59" t="s">
        <v>421</v>
      </c>
      <c r="D4" s="59">
        <v>222</v>
      </c>
      <c r="E4" s="59">
        <v>667</v>
      </c>
      <c r="F4" s="74">
        <v>160000000</v>
      </c>
    </row>
    <row r="5" spans="2:6" ht="34" x14ac:dyDescent="0.2">
      <c r="B5" s="59" t="s">
        <v>380</v>
      </c>
      <c r="C5" s="59" t="s">
        <v>422</v>
      </c>
      <c r="D5" s="59">
        <v>223</v>
      </c>
      <c r="E5" s="59">
        <v>670</v>
      </c>
      <c r="F5" s="74">
        <v>155000000</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98A5C-1ACC-5447-A37A-8D203E414033}">
  <dimension ref="B1:F25"/>
  <sheetViews>
    <sheetView workbookViewId="0">
      <selection activeCell="I7" sqref="I7"/>
    </sheetView>
  </sheetViews>
  <sheetFormatPr baseColWidth="10" defaultRowHeight="16" x14ac:dyDescent="0.2"/>
  <cols>
    <col min="2" max="2" width="16.1640625" customWidth="1"/>
    <col min="3" max="3" width="22.5" customWidth="1"/>
    <col min="4" max="4" width="10.5" bestFit="1" customWidth="1"/>
    <col min="5" max="5" width="13.6640625" bestFit="1" customWidth="1"/>
  </cols>
  <sheetData>
    <row r="1" spans="2:6" ht="24" x14ac:dyDescent="0.3">
      <c r="B1" s="7" t="s">
        <v>423</v>
      </c>
    </row>
    <row r="3" spans="2:6" ht="34" x14ac:dyDescent="0.2">
      <c r="B3" s="59" t="s">
        <v>61</v>
      </c>
      <c r="C3" s="59" t="s">
        <v>424</v>
      </c>
      <c r="D3" s="59" t="s">
        <v>425</v>
      </c>
      <c r="E3" s="2" t="s">
        <v>426</v>
      </c>
      <c r="F3" s="2" t="s">
        <v>427</v>
      </c>
    </row>
    <row r="4" spans="2:6" ht="17" x14ac:dyDescent="0.2">
      <c r="B4" s="59" t="s">
        <v>360</v>
      </c>
      <c r="C4" s="59" t="s">
        <v>428</v>
      </c>
      <c r="D4" s="59">
        <v>2012</v>
      </c>
      <c r="E4" s="75">
        <v>0</v>
      </c>
      <c r="F4" s="2"/>
    </row>
    <row r="5" spans="2:6" ht="17" x14ac:dyDescent="0.2">
      <c r="B5" s="59" t="s">
        <v>429</v>
      </c>
      <c r="C5" s="59" t="s">
        <v>430</v>
      </c>
      <c r="D5" s="59">
        <v>2013.5</v>
      </c>
      <c r="E5" s="75">
        <v>4830.41</v>
      </c>
      <c r="F5" s="2" t="s">
        <v>431</v>
      </c>
    </row>
    <row r="6" spans="2:6" ht="17" x14ac:dyDescent="0.2">
      <c r="B6" s="2" t="s">
        <v>429</v>
      </c>
      <c r="C6" s="2" t="s">
        <v>300</v>
      </c>
      <c r="D6" s="2">
        <v>2013.5</v>
      </c>
      <c r="E6" s="75">
        <v>4276.8100000000004</v>
      </c>
      <c r="F6" s="2" t="s">
        <v>431</v>
      </c>
    </row>
    <row r="7" spans="2:6" ht="17" x14ac:dyDescent="0.2">
      <c r="B7" s="2" t="s">
        <v>368</v>
      </c>
      <c r="C7" s="2" t="s">
        <v>432</v>
      </c>
      <c r="D7" s="2">
        <v>2013.8</v>
      </c>
      <c r="E7" s="75">
        <v>4322.97</v>
      </c>
      <c r="F7" s="2" t="s">
        <v>431</v>
      </c>
    </row>
    <row r="8" spans="2:6" ht="17" x14ac:dyDescent="0.2">
      <c r="B8" s="2" t="s">
        <v>365</v>
      </c>
      <c r="C8" s="2" t="s">
        <v>206</v>
      </c>
      <c r="D8" s="2">
        <v>2014</v>
      </c>
      <c r="E8" s="75">
        <v>32673.48</v>
      </c>
      <c r="F8" s="2" t="s">
        <v>433</v>
      </c>
    </row>
    <row r="9" spans="2:6" ht="17" x14ac:dyDescent="0.2">
      <c r="B9" s="2" t="s">
        <v>303</v>
      </c>
      <c r="C9" s="2" t="s">
        <v>182</v>
      </c>
      <c r="D9" s="2">
        <v>2015</v>
      </c>
      <c r="E9" s="75">
        <v>582.72</v>
      </c>
      <c r="F9" s="2" t="s">
        <v>431</v>
      </c>
    </row>
    <row r="10" spans="2:6" ht="17" x14ac:dyDescent="0.2">
      <c r="B10" s="2" t="s">
        <v>303</v>
      </c>
      <c r="C10" s="2" t="s">
        <v>434</v>
      </c>
      <c r="D10" s="2">
        <v>2015</v>
      </c>
      <c r="E10" s="75">
        <v>270.13</v>
      </c>
      <c r="F10" s="2" t="s">
        <v>431</v>
      </c>
    </row>
    <row r="11" spans="2:6" ht="17" x14ac:dyDescent="0.2">
      <c r="B11" s="2" t="s">
        <v>343</v>
      </c>
      <c r="C11" s="2" t="s">
        <v>435</v>
      </c>
      <c r="D11" s="2">
        <v>2016.2</v>
      </c>
      <c r="E11" s="75">
        <v>1625.1</v>
      </c>
      <c r="F11" s="2" t="s">
        <v>431</v>
      </c>
    </row>
    <row r="12" spans="2:6" ht="17" x14ac:dyDescent="0.2">
      <c r="B12" s="2" t="s">
        <v>343</v>
      </c>
      <c r="C12" s="2" t="s">
        <v>199</v>
      </c>
      <c r="D12" s="2">
        <v>2016.2</v>
      </c>
      <c r="E12" s="75">
        <v>1624</v>
      </c>
      <c r="F12" s="2" t="s">
        <v>431</v>
      </c>
    </row>
    <row r="13" spans="2:6" ht="17" x14ac:dyDescent="0.2">
      <c r="B13" s="2" t="s">
        <v>319</v>
      </c>
      <c r="C13" s="2" t="s">
        <v>198</v>
      </c>
      <c r="D13" s="2">
        <v>2016.9</v>
      </c>
      <c r="E13" s="75">
        <v>151437.04</v>
      </c>
      <c r="F13" s="2" t="s">
        <v>433</v>
      </c>
    </row>
    <row r="14" spans="2:6" ht="17" x14ac:dyDescent="0.2">
      <c r="B14" s="2" t="s">
        <v>371</v>
      </c>
      <c r="C14" s="2" t="s">
        <v>212</v>
      </c>
      <c r="D14" s="2">
        <v>2017.2</v>
      </c>
      <c r="E14" s="75">
        <v>21399.67</v>
      </c>
      <c r="F14" s="2" t="s">
        <v>431</v>
      </c>
    </row>
    <row r="15" spans="2:6" ht="17" x14ac:dyDescent="0.2">
      <c r="B15" s="2" t="s">
        <v>303</v>
      </c>
      <c r="C15" s="2" t="s">
        <v>187</v>
      </c>
      <c r="D15" s="2">
        <v>2018.8</v>
      </c>
      <c r="E15" s="75">
        <v>296593.09000000003</v>
      </c>
      <c r="F15" s="2" t="s">
        <v>433</v>
      </c>
    </row>
    <row r="16" spans="2:6" ht="17" x14ac:dyDescent="0.2">
      <c r="B16" s="2" t="s">
        <v>303</v>
      </c>
      <c r="C16" s="2" t="s">
        <v>189</v>
      </c>
      <c r="D16" s="2">
        <v>2018.8</v>
      </c>
      <c r="E16" s="75">
        <v>299467.05</v>
      </c>
      <c r="F16" s="2" t="s">
        <v>433</v>
      </c>
    </row>
    <row r="17" spans="2:6" ht="17" x14ac:dyDescent="0.2">
      <c r="B17" s="2" t="s">
        <v>303</v>
      </c>
      <c r="C17" s="2" t="s">
        <v>191</v>
      </c>
      <c r="D17" s="2">
        <v>2018.8</v>
      </c>
      <c r="E17" s="75">
        <v>288506.53000000003</v>
      </c>
      <c r="F17" s="2" t="s">
        <v>433</v>
      </c>
    </row>
    <row r="18" spans="2:6" ht="17" x14ac:dyDescent="0.2">
      <c r="B18" s="2" t="s">
        <v>319</v>
      </c>
      <c r="C18" s="2" t="s">
        <v>330</v>
      </c>
      <c r="D18" s="2">
        <v>2022.1</v>
      </c>
      <c r="E18" s="75">
        <v>2643039.2000000002</v>
      </c>
      <c r="F18" s="2" t="s">
        <v>433</v>
      </c>
    </row>
    <row r="19" spans="2:6" ht="17" x14ac:dyDescent="0.2">
      <c r="B19" s="2" t="s">
        <v>325</v>
      </c>
      <c r="C19" s="2" t="s">
        <v>333</v>
      </c>
      <c r="D19" s="2">
        <v>2022.1</v>
      </c>
      <c r="E19" s="75">
        <v>2472980.2400000002</v>
      </c>
      <c r="F19" s="2" t="s">
        <v>433</v>
      </c>
    </row>
    <row r="20" spans="2:6" ht="17" x14ac:dyDescent="0.2">
      <c r="B20" s="2" t="s">
        <v>325</v>
      </c>
      <c r="C20" s="2" t="s">
        <v>336</v>
      </c>
      <c r="D20" s="2">
        <v>2022.1</v>
      </c>
      <c r="E20" s="75">
        <v>2378568.56</v>
      </c>
      <c r="F20" s="2" t="s">
        <v>433</v>
      </c>
    </row>
    <row r="21" spans="2:6" ht="17" x14ac:dyDescent="0.2">
      <c r="B21" s="2" t="s">
        <v>325</v>
      </c>
      <c r="C21" s="2" t="s">
        <v>339</v>
      </c>
      <c r="D21" s="2">
        <v>2022.1</v>
      </c>
      <c r="E21" s="75">
        <v>2531449.42</v>
      </c>
      <c r="F21" s="2" t="s">
        <v>433</v>
      </c>
    </row>
    <row r="22" spans="2:6" ht="17" x14ac:dyDescent="0.2">
      <c r="B22" s="2" t="s">
        <v>325</v>
      </c>
      <c r="C22" s="2" t="s">
        <v>342</v>
      </c>
      <c r="D22" s="2">
        <v>2022.1</v>
      </c>
      <c r="E22" s="75">
        <v>2072760.3</v>
      </c>
      <c r="F22" s="2" t="s">
        <v>433</v>
      </c>
    </row>
    <row r="23" spans="2:6" ht="17" x14ac:dyDescent="0.2">
      <c r="B23" s="2" t="s">
        <v>325</v>
      </c>
      <c r="C23" s="2" t="s">
        <v>327</v>
      </c>
      <c r="D23" s="2">
        <v>2022.1</v>
      </c>
      <c r="E23" s="75">
        <v>1635659.87</v>
      </c>
      <c r="F23" s="2" t="s">
        <v>433</v>
      </c>
    </row>
    <row r="24" spans="2:6" ht="17" x14ac:dyDescent="0.2">
      <c r="B24" s="2" t="s">
        <v>371</v>
      </c>
      <c r="C24" s="2" t="s">
        <v>377</v>
      </c>
      <c r="D24" s="2">
        <v>2022.5</v>
      </c>
      <c r="E24" s="75">
        <v>720720.72</v>
      </c>
      <c r="F24" s="2" t="s">
        <v>433</v>
      </c>
    </row>
    <row r="25" spans="2:6" ht="17" x14ac:dyDescent="0.2">
      <c r="B25" s="2" t="s">
        <v>371</v>
      </c>
      <c r="C25" s="2" t="s">
        <v>380</v>
      </c>
      <c r="D25" s="2">
        <v>2022.5</v>
      </c>
      <c r="E25" s="75">
        <v>695067.26</v>
      </c>
      <c r="F25" s="2" t="s">
        <v>433</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74B9F-9D0C-8345-9550-5FBB6CA7EB88}">
  <dimension ref="B1:E25"/>
  <sheetViews>
    <sheetView workbookViewId="0">
      <selection activeCell="F19" sqref="F19"/>
    </sheetView>
  </sheetViews>
  <sheetFormatPr baseColWidth="10" defaultRowHeight="16" x14ac:dyDescent="0.2"/>
  <cols>
    <col min="2" max="2" width="30" customWidth="1"/>
    <col min="3" max="3" width="28.5" customWidth="1"/>
    <col min="4" max="4" width="12.6640625" customWidth="1"/>
    <col min="5" max="5" width="18" customWidth="1"/>
  </cols>
  <sheetData>
    <row r="1" spans="2:5" ht="24" x14ac:dyDescent="0.3">
      <c r="B1" s="7" t="s">
        <v>436</v>
      </c>
    </row>
    <row r="3" spans="2:5" ht="17" x14ac:dyDescent="0.2">
      <c r="B3" s="59" t="s">
        <v>437</v>
      </c>
      <c r="C3" s="59" t="s">
        <v>438</v>
      </c>
      <c r="D3" s="59" t="s">
        <v>425</v>
      </c>
      <c r="E3" s="59" t="s">
        <v>439</v>
      </c>
    </row>
    <row r="4" spans="2:5" ht="17" x14ac:dyDescent="0.2">
      <c r="B4" s="59" t="s">
        <v>428</v>
      </c>
      <c r="C4" s="59" t="s">
        <v>56</v>
      </c>
      <c r="D4" s="59">
        <v>2012</v>
      </c>
      <c r="E4" s="59" t="s">
        <v>196</v>
      </c>
    </row>
    <row r="5" spans="2:5" ht="17" x14ac:dyDescent="0.2">
      <c r="B5" s="59" t="s">
        <v>432</v>
      </c>
      <c r="C5" s="59" t="s">
        <v>58</v>
      </c>
      <c r="D5" s="59">
        <v>2013</v>
      </c>
      <c r="E5" s="74">
        <v>1971276</v>
      </c>
    </row>
    <row r="6" spans="2:5" ht="17" x14ac:dyDescent="0.2">
      <c r="B6" s="59" t="s">
        <v>430</v>
      </c>
      <c r="C6" s="59" t="s">
        <v>403</v>
      </c>
      <c r="D6" s="59">
        <v>2013</v>
      </c>
      <c r="E6" s="74">
        <v>1903181</v>
      </c>
    </row>
    <row r="7" spans="2:5" ht="17" x14ac:dyDescent="0.2">
      <c r="B7" s="59" t="s">
        <v>300</v>
      </c>
      <c r="C7" s="59" t="s">
        <v>403</v>
      </c>
      <c r="D7" s="59">
        <v>2013</v>
      </c>
      <c r="E7" s="74">
        <v>1903181</v>
      </c>
    </row>
    <row r="8" spans="2:5" ht="17" x14ac:dyDescent="0.2">
      <c r="B8" s="59" t="s">
        <v>206</v>
      </c>
      <c r="C8" s="59" t="s">
        <v>440</v>
      </c>
      <c r="D8" s="59">
        <v>2014</v>
      </c>
      <c r="E8" s="74">
        <v>10553535</v>
      </c>
    </row>
    <row r="9" spans="2:5" ht="17" x14ac:dyDescent="0.2">
      <c r="B9" s="59" t="s">
        <v>435</v>
      </c>
      <c r="C9" s="59" t="s">
        <v>55</v>
      </c>
      <c r="D9" s="59">
        <v>2016</v>
      </c>
      <c r="E9" s="74">
        <v>1054690</v>
      </c>
    </row>
    <row r="10" spans="2:5" ht="17" x14ac:dyDescent="0.2">
      <c r="B10" s="2" t="s">
        <v>199</v>
      </c>
      <c r="C10" s="2" t="s">
        <v>55</v>
      </c>
      <c r="D10" s="2">
        <v>2016</v>
      </c>
      <c r="E10" s="73">
        <v>1205011</v>
      </c>
    </row>
    <row r="11" spans="2:5" ht="17" x14ac:dyDescent="0.2">
      <c r="B11" s="2" t="s">
        <v>182</v>
      </c>
      <c r="C11" s="2" t="s">
        <v>52</v>
      </c>
      <c r="D11" s="2">
        <v>2015</v>
      </c>
      <c r="E11" s="73">
        <v>341474</v>
      </c>
    </row>
    <row r="12" spans="2:5" ht="17" x14ac:dyDescent="0.2">
      <c r="B12" s="2" t="s">
        <v>434</v>
      </c>
      <c r="C12" s="2" t="s">
        <v>52</v>
      </c>
      <c r="D12" s="2">
        <v>2015</v>
      </c>
      <c r="E12" s="73">
        <v>182336</v>
      </c>
    </row>
    <row r="13" spans="2:5" ht="17" x14ac:dyDescent="0.2">
      <c r="B13" s="2" t="s">
        <v>198</v>
      </c>
      <c r="C13" s="2" t="s">
        <v>54</v>
      </c>
      <c r="D13" s="2">
        <v>2016</v>
      </c>
      <c r="E13" s="73">
        <v>48611290</v>
      </c>
    </row>
    <row r="14" spans="2:5" ht="17" x14ac:dyDescent="0.2">
      <c r="B14" s="2" t="s">
        <v>212</v>
      </c>
      <c r="C14" s="2" t="s">
        <v>79</v>
      </c>
      <c r="D14" s="2">
        <v>2017</v>
      </c>
      <c r="E14" s="73">
        <v>10592835</v>
      </c>
    </row>
    <row r="15" spans="2:5" ht="17" x14ac:dyDescent="0.2">
      <c r="B15" s="2" t="s">
        <v>187</v>
      </c>
      <c r="C15" s="2" t="s">
        <v>52</v>
      </c>
      <c r="D15" s="2">
        <v>2018</v>
      </c>
      <c r="E15" s="73">
        <v>154525000</v>
      </c>
    </row>
    <row r="16" spans="2:5" ht="17" x14ac:dyDescent="0.2">
      <c r="B16" s="2" t="s">
        <v>189</v>
      </c>
      <c r="C16" s="2" t="s">
        <v>52</v>
      </c>
      <c r="D16" s="2">
        <v>2018</v>
      </c>
      <c r="E16" s="73">
        <v>154525000</v>
      </c>
    </row>
    <row r="17" spans="2:5" ht="17" x14ac:dyDescent="0.2">
      <c r="B17" s="2" t="s">
        <v>191</v>
      </c>
      <c r="C17" s="2" t="s">
        <v>52</v>
      </c>
      <c r="D17" s="2">
        <v>2018</v>
      </c>
      <c r="E17" s="73">
        <v>154639500</v>
      </c>
    </row>
    <row r="18" spans="2:5" ht="17" x14ac:dyDescent="0.2">
      <c r="B18" s="2" t="s">
        <v>330</v>
      </c>
      <c r="C18" s="2" t="s">
        <v>441</v>
      </c>
      <c r="D18" s="2">
        <v>2022</v>
      </c>
      <c r="E18" s="73">
        <v>765000000</v>
      </c>
    </row>
    <row r="19" spans="2:5" ht="17" x14ac:dyDescent="0.2">
      <c r="B19" s="2" t="s">
        <v>333</v>
      </c>
      <c r="C19" s="2" t="s">
        <v>441</v>
      </c>
      <c r="D19" s="2">
        <v>2022</v>
      </c>
      <c r="E19" s="73">
        <v>795000000</v>
      </c>
    </row>
    <row r="20" spans="2:5" ht="17" x14ac:dyDescent="0.2">
      <c r="B20" s="2" t="s">
        <v>336</v>
      </c>
      <c r="C20" s="2" t="s">
        <v>441</v>
      </c>
      <c r="D20" s="2">
        <v>2022</v>
      </c>
      <c r="E20" s="73">
        <v>1100000000</v>
      </c>
    </row>
    <row r="21" spans="2:5" ht="17" x14ac:dyDescent="0.2">
      <c r="B21" s="2" t="s">
        <v>339</v>
      </c>
      <c r="C21" s="2" t="s">
        <v>441</v>
      </c>
      <c r="D21" s="2">
        <v>2022</v>
      </c>
      <c r="E21" s="73">
        <v>780000000</v>
      </c>
    </row>
    <row r="22" spans="2:5" ht="17" x14ac:dyDescent="0.2">
      <c r="B22" s="2" t="s">
        <v>342</v>
      </c>
      <c r="C22" s="2" t="s">
        <v>441</v>
      </c>
      <c r="D22" s="2">
        <v>2022</v>
      </c>
      <c r="E22" s="73">
        <v>645000000</v>
      </c>
    </row>
    <row r="23" spans="2:5" ht="17" x14ac:dyDescent="0.2">
      <c r="B23" s="2" t="s">
        <v>327</v>
      </c>
      <c r="C23" s="2" t="s">
        <v>441</v>
      </c>
      <c r="D23" s="2">
        <v>2022</v>
      </c>
      <c r="E23" s="73">
        <v>285000000</v>
      </c>
    </row>
    <row r="24" spans="2:5" ht="17" x14ac:dyDescent="0.2">
      <c r="B24" s="2" t="s">
        <v>377</v>
      </c>
      <c r="C24" s="2" t="s">
        <v>79</v>
      </c>
      <c r="D24" s="2">
        <v>2022</v>
      </c>
      <c r="E24" s="73">
        <v>160000000</v>
      </c>
    </row>
    <row r="25" spans="2:5" ht="17" x14ac:dyDescent="0.2">
      <c r="B25" s="2" t="s">
        <v>380</v>
      </c>
      <c r="C25" s="2" t="s">
        <v>79</v>
      </c>
      <c r="D25" s="2">
        <v>2022</v>
      </c>
      <c r="E25" s="73">
        <v>155000000</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267D4-A610-244A-9813-1BE002B19409}">
  <dimension ref="B1:F15"/>
  <sheetViews>
    <sheetView workbookViewId="0">
      <selection activeCell="D10" sqref="D10"/>
    </sheetView>
  </sheetViews>
  <sheetFormatPr baseColWidth="10" defaultRowHeight="16" x14ac:dyDescent="0.2"/>
  <cols>
    <col min="2" max="2" width="27.5" customWidth="1"/>
    <col min="3" max="3" width="28.5" customWidth="1"/>
    <col min="4" max="4" width="12.6640625" customWidth="1"/>
    <col min="5" max="5" width="18" customWidth="1"/>
    <col min="6" max="6" width="22.6640625" customWidth="1"/>
  </cols>
  <sheetData>
    <row r="1" spans="2:6" ht="24" x14ac:dyDescent="0.3">
      <c r="B1" s="7" t="s">
        <v>442</v>
      </c>
    </row>
    <row r="3" spans="2:6" ht="34" x14ac:dyDescent="0.2">
      <c r="B3" s="59" t="s">
        <v>61</v>
      </c>
      <c r="C3" s="59" t="s">
        <v>443</v>
      </c>
      <c r="D3" s="59" t="s">
        <v>444</v>
      </c>
      <c r="E3" s="59" t="s">
        <v>445</v>
      </c>
      <c r="F3" s="2" t="s">
        <v>447</v>
      </c>
    </row>
    <row r="4" spans="2:6" ht="17" x14ac:dyDescent="0.2">
      <c r="B4" s="59"/>
      <c r="C4" s="59"/>
      <c r="D4" s="59"/>
      <c r="E4" s="59" t="s">
        <v>446</v>
      </c>
      <c r="F4" s="2"/>
    </row>
    <row r="5" spans="2:6" ht="17" x14ac:dyDescent="0.2">
      <c r="B5" s="59" t="s">
        <v>222</v>
      </c>
      <c r="C5" s="59" t="s">
        <v>213</v>
      </c>
      <c r="D5" s="59">
        <v>2016</v>
      </c>
      <c r="E5" s="74">
        <v>628003</v>
      </c>
      <c r="F5" s="2" t="s">
        <v>448</v>
      </c>
    </row>
    <row r="6" spans="2:6" ht="17" x14ac:dyDescent="0.2">
      <c r="B6" s="59" t="s">
        <v>222</v>
      </c>
      <c r="C6" s="59" t="s">
        <v>215</v>
      </c>
      <c r="D6" s="59">
        <v>2016</v>
      </c>
      <c r="E6" s="74">
        <v>34871</v>
      </c>
      <c r="F6" s="2" t="s">
        <v>448</v>
      </c>
    </row>
    <row r="7" spans="2:6" ht="17" x14ac:dyDescent="0.2">
      <c r="B7" s="59" t="s">
        <v>222</v>
      </c>
      <c r="C7" s="59" t="s">
        <v>216</v>
      </c>
      <c r="D7" s="59">
        <v>2016</v>
      </c>
      <c r="E7" s="74">
        <v>155498</v>
      </c>
      <c r="F7" s="2" t="s">
        <v>448</v>
      </c>
    </row>
    <row r="8" spans="2:6" ht="17" x14ac:dyDescent="0.2">
      <c r="B8" s="59" t="s">
        <v>222</v>
      </c>
      <c r="C8" s="59" t="s">
        <v>217</v>
      </c>
      <c r="D8" s="59">
        <v>2016</v>
      </c>
      <c r="E8" s="74">
        <v>35583</v>
      </c>
      <c r="F8" s="2" t="s">
        <v>448</v>
      </c>
    </row>
    <row r="9" spans="2:6" ht="17" x14ac:dyDescent="0.2">
      <c r="B9" s="59" t="s">
        <v>78</v>
      </c>
      <c r="C9" s="59" t="s">
        <v>449</v>
      </c>
      <c r="D9" s="59">
        <v>2016</v>
      </c>
      <c r="E9" s="74">
        <v>328981</v>
      </c>
      <c r="F9" s="2" t="s">
        <v>162</v>
      </c>
    </row>
    <row r="10" spans="2:6" ht="17" x14ac:dyDescent="0.2">
      <c r="B10" s="2" t="s">
        <v>78</v>
      </c>
      <c r="C10" s="2" t="s">
        <v>450</v>
      </c>
      <c r="D10" s="2">
        <v>2016</v>
      </c>
      <c r="E10" s="73">
        <v>154670</v>
      </c>
      <c r="F10" s="2" t="s">
        <v>162</v>
      </c>
    </row>
    <row r="11" spans="2:6" ht="17" x14ac:dyDescent="0.2">
      <c r="B11" s="2" t="s">
        <v>60</v>
      </c>
      <c r="C11" s="2" t="s">
        <v>219</v>
      </c>
      <c r="D11" s="2">
        <v>2019</v>
      </c>
      <c r="E11" s="73">
        <v>356188</v>
      </c>
      <c r="F11" s="2" t="s">
        <v>162</v>
      </c>
    </row>
    <row r="12" spans="2:6" ht="17" x14ac:dyDescent="0.2">
      <c r="B12" s="2" t="s">
        <v>451</v>
      </c>
      <c r="C12" s="2" t="s">
        <v>384</v>
      </c>
      <c r="D12" s="2">
        <v>2021</v>
      </c>
      <c r="E12" s="73">
        <v>29901285</v>
      </c>
      <c r="F12" s="2" t="s">
        <v>452</v>
      </c>
    </row>
    <row r="13" spans="2:6" ht="34" x14ac:dyDescent="0.2">
      <c r="B13" s="2" t="s">
        <v>453</v>
      </c>
      <c r="C13" s="2" t="s">
        <v>373</v>
      </c>
      <c r="D13" s="2">
        <v>2022</v>
      </c>
      <c r="E13" s="73">
        <v>3897388</v>
      </c>
      <c r="F13" s="2" t="s">
        <v>452</v>
      </c>
    </row>
    <row r="14" spans="2:6" ht="17" x14ac:dyDescent="0.2">
      <c r="B14" s="2" t="s">
        <v>454</v>
      </c>
      <c r="C14" s="2" t="s">
        <v>391</v>
      </c>
      <c r="D14" s="2">
        <v>2022</v>
      </c>
      <c r="E14" s="73">
        <v>286720</v>
      </c>
      <c r="F14" s="2" t="s">
        <v>162</v>
      </c>
    </row>
    <row r="15" spans="2:6" ht="17" x14ac:dyDescent="0.2">
      <c r="B15" s="2" t="s">
        <v>454</v>
      </c>
      <c r="C15" s="2" t="s">
        <v>392</v>
      </c>
      <c r="D15" s="2">
        <v>2022</v>
      </c>
      <c r="E15" s="73">
        <v>871680</v>
      </c>
      <c r="F15" s="2" t="s">
        <v>162</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F90C4-19A9-B540-89D0-FF8BF70C5B30}">
  <dimension ref="B1:J31"/>
  <sheetViews>
    <sheetView workbookViewId="0">
      <selection activeCell="L9" sqref="L9"/>
    </sheetView>
  </sheetViews>
  <sheetFormatPr baseColWidth="10" defaultRowHeight="16" x14ac:dyDescent="0.2"/>
  <cols>
    <col min="2" max="2" width="27.5" customWidth="1"/>
    <col min="3" max="3" width="10.83203125" bestFit="1" customWidth="1"/>
    <col min="4" max="4" width="12.6640625" customWidth="1"/>
    <col min="5" max="5" width="18" customWidth="1"/>
    <col min="6" max="6" width="22.6640625" customWidth="1"/>
    <col min="8" max="8" width="18.1640625" customWidth="1"/>
    <col min="9" max="9" width="14.83203125" customWidth="1"/>
    <col min="10" max="10" width="27" customWidth="1"/>
  </cols>
  <sheetData>
    <row r="1" spans="2:10" ht="24" x14ac:dyDescent="0.3">
      <c r="B1" s="7" t="s">
        <v>455</v>
      </c>
    </row>
    <row r="3" spans="2:10" ht="34" x14ac:dyDescent="0.2">
      <c r="B3" s="59" t="s">
        <v>456</v>
      </c>
      <c r="C3" s="59" t="s">
        <v>457</v>
      </c>
      <c r="D3" s="59" t="s">
        <v>458</v>
      </c>
      <c r="E3" s="59" t="s">
        <v>459</v>
      </c>
      <c r="F3" s="2" t="s">
        <v>460</v>
      </c>
      <c r="G3" s="2" t="s">
        <v>461</v>
      </c>
      <c r="H3" s="2" t="s">
        <v>462</v>
      </c>
      <c r="I3" s="2" t="s">
        <v>484</v>
      </c>
      <c r="J3" s="2" t="s">
        <v>463</v>
      </c>
    </row>
    <row r="4" spans="2:10" ht="17" x14ac:dyDescent="0.2">
      <c r="B4" s="59" t="s">
        <v>464</v>
      </c>
      <c r="C4" s="59">
        <v>2010</v>
      </c>
      <c r="D4" s="59">
        <v>30</v>
      </c>
      <c r="E4" s="74">
        <v>20</v>
      </c>
      <c r="F4" s="2" t="s">
        <v>218</v>
      </c>
      <c r="G4" s="2" t="s">
        <v>433</v>
      </c>
      <c r="H4" s="2">
        <v>244</v>
      </c>
      <c r="I4" s="2">
        <v>2016</v>
      </c>
      <c r="J4" s="2" t="s">
        <v>465</v>
      </c>
    </row>
    <row r="5" spans="2:10" ht="17" x14ac:dyDescent="0.2">
      <c r="B5" s="59" t="s">
        <v>298</v>
      </c>
      <c r="C5" s="59">
        <v>2017</v>
      </c>
      <c r="D5" s="59">
        <v>132</v>
      </c>
      <c r="E5" s="74">
        <v>20</v>
      </c>
      <c r="F5" s="2" t="s">
        <v>218</v>
      </c>
      <c r="G5" s="2" t="s">
        <v>433</v>
      </c>
      <c r="H5" s="2">
        <v>163</v>
      </c>
      <c r="I5" s="2">
        <v>2024</v>
      </c>
      <c r="J5" s="2" t="s">
        <v>466</v>
      </c>
    </row>
    <row r="6" spans="2:10" ht="17" x14ac:dyDescent="0.2">
      <c r="B6" s="59" t="s">
        <v>366</v>
      </c>
      <c r="C6" s="59">
        <v>2017</v>
      </c>
      <c r="D6" s="59">
        <v>248</v>
      </c>
      <c r="E6" s="74">
        <v>20</v>
      </c>
      <c r="F6" s="2" t="s">
        <v>467</v>
      </c>
      <c r="G6" s="2" t="s">
        <v>433</v>
      </c>
      <c r="H6" s="2">
        <v>131.9</v>
      </c>
      <c r="I6" s="2"/>
      <c r="J6" s="2" t="s">
        <v>468</v>
      </c>
    </row>
    <row r="7" spans="2:10" ht="17" x14ac:dyDescent="0.2">
      <c r="B7" s="59" t="s">
        <v>362</v>
      </c>
      <c r="C7" s="59">
        <v>2017</v>
      </c>
      <c r="D7" s="59">
        <v>120</v>
      </c>
      <c r="E7" s="74">
        <v>20</v>
      </c>
      <c r="F7" s="2" t="s">
        <v>467</v>
      </c>
      <c r="G7" s="2" t="s">
        <v>433</v>
      </c>
      <c r="H7" s="2">
        <v>131.9</v>
      </c>
      <c r="I7" s="2">
        <v>2026</v>
      </c>
      <c r="J7" s="2" t="s">
        <v>469</v>
      </c>
    </row>
    <row r="8" spans="2:10" ht="34" x14ac:dyDescent="0.2">
      <c r="B8" s="59" t="s">
        <v>38</v>
      </c>
      <c r="C8" s="59">
        <v>2018</v>
      </c>
      <c r="D8" s="59">
        <v>400</v>
      </c>
      <c r="E8" s="74">
        <v>20</v>
      </c>
      <c r="F8" s="2" t="s">
        <v>218</v>
      </c>
      <c r="G8" s="2" t="s">
        <v>433</v>
      </c>
      <c r="H8" s="2">
        <v>74</v>
      </c>
      <c r="I8" s="2">
        <v>2024</v>
      </c>
      <c r="J8" s="2" t="s">
        <v>470</v>
      </c>
    </row>
    <row r="9" spans="2:10" ht="34" x14ac:dyDescent="0.2">
      <c r="B9" s="2" t="s">
        <v>38</v>
      </c>
      <c r="C9" s="2">
        <v>2018</v>
      </c>
      <c r="D9" s="2">
        <v>400</v>
      </c>
      <c r="E9" s="73">
        <v>20</v>
      </c>
      <c r="F9" s="2" t="s">
        <v>218</v>
      </c>
      <c r="G9" s="2" t="s">
        <v>433</v>
      </c>
      <c r="H9" s="2">
        <v>65</v>
      </c>
      <c r="I9" s="2">
        <v>2024</v>
      </c>
      <c r="J9" s="2" t="s">
        <v>470</v>
      </c>
    </row>
    <row r="10" spans="2:10" ht="34" x14ac:dyDescent="0.2">
      <c r="B10" s="2" t="s">
        <v>369</v>
      </c>
      <c r="C10" s="2">
        <v>2018</v>
      </c>
      <c r="D10" s="2">
        <v>12</v>
      </c>
      <c r="E10" s="73">
        <v>20</v>
      </c>
      <c r="F10" s="2" t="s">
        <v>210</v>
      </c>
      <c r="G10" s="2" t="s">
        <v>433</v>
      </c>
      <c r="H10" s="2">
        <v>780</v>
      </c>
      <c r="I10" s="2">
        <v>2020</v>
      </c>
      <c r="J10" s="2" t="s">
        <v>208</v>
      </c>
    </row>
    <row r="11" spans="2:10" ht="17" x14ac:dyDescent="0.2">
      <c r="B11" s="2" t="s">
        <v>97</v>
      </c>
      <c r="C11" s="2">
        <v>2018</v>
      </c>
      <c r="D11" s="2">
        <v>400</v>
      </c>
      <c r="E11" s="73">
        <v>20</v>
      </c>
      <c r="F11" s="2" t="s">
        <v>218</v>
      </c>
      <c r="G11" s="2" t="s">
        <v>433</v>
      </c>
      <c r="H11" s="2">
        <v>99.5</v>
      </c>
      <c r="I11" s="2">
        <v>2024</v>
      </c>
      <c r="J11" s="2" t="s">
        <v>471</v>
      </c>
    </row>
    <row r="12" spans="2:10" ht="17" x14ac:dyDescent="0.2">
      <c r="B12" s="2" t="s">
        <v>97</v>
      </c>
      <c r="C12" s="2">
        <v>2018</v>
      </c>
      <c r="D12" s="2">
        <v>200</v>
      </c>
      <c r="E12" s="73">
        <v>20</v>
      </c>
      <c r="F12" s="2" t="s">
        <v>218</v>
      </c>
      <c r="G12" s="2" t="s">
        <v>433</v>
      </c>
      <c r="H12" s="2">
        <v>98.4</v>
      </c>
      <c r="I12" s="2">
        <v>2024</v>
      </c>
      <c r="J12" s="2" t="s">
        <v>471</v>
      </c>
    </row>
    <row r="13" spans="2:10" ht="17" x14ac:dyDescent="0.2">
      <c r="B13" s="2" t="s">
        <v>97</v>
      </c>
      <c r="C13" s="2">
        <v>2019</v>
      </c>
      <c r="D13" s="2">
        <v>104</v>
      </c>
      <c r="E13" s="73">
        <v>20</v>
      </c>
      <c r="F13" s="2" t="s">
        <v>218</v>
      </c>
      <c r="G13" s="2" t="s">
        <v>433</v>
      </c>
      <c r="H13" s="2">
        <v>98.4</v>
      </c>
      <c r="I13" s="2">
        <v>2024</v>
      </c>
      <c r="J13" s="2" t="s">
        <v>471</v>
      </c>
    </row>
    <row r="14" spans="2:10" ht="51" x14ac:dyDescent="0.2">
      <c r="B14" s="2" t="s">
        <v>346</v>
      </c>
      <c r="C14" s="2">
        <v>2019</v>
      </c>
      <c r="D14" s="72">
        <v>1100</v>
      </c>
      <c r="E14" s="73">
        <v>20</v>
      </c>
      <c r="F14" s="2" t="s">
        <v>472</v>
      </c>
      <c r="G14" s="2" t="s">
        <v>433</v>
      </c>
      <c r="H14" s="2">
        <v>116.8</v>
      </c>
      <c r="I14" s="2">
        <v>2024</v>
      </c>
      <c r="J14" s="2" t="s">
        <v>473</v>
      </c>
    </row>
    <row r="15" spans="2:10" ht="17" x14ac:dyDescent="0.2">
      <c r="B15" s="2" t="s">
        <v>320</v>
      </c>
      <c r="C15" s="2">
        <v>2019</v>
      </c>
      <c r="D15" s="2">
        <v>816</v>
      </c>
      <c r="E15" s="2">
        <v>25</v>
      </c>
      <c r="F15" s="2" t="s">
        <v>474</v>
      </c>
      <c r="G15" s="2" t="s">
        <v>433</v>
      </c>
      <c r="H15" s="2">
        <v>83.3</v>
      </c>
      <c r="I15" s="2">
        <v>2026</v>
      </c>
      <c r="J15" s="2" t="s">
        <v>475</v>
      </c>
    </row>
    <row r="16" spans="2:10" ht="17" x14ac:dyDescent="0.2">
      <c r="B16" s="2" t="s">
        <v>99</v>
      </c>
      <c r="C16" s="2">
        <v>2019</v>
      </c>
      <c r="D16" s="2">
        <v>924</v>
      </c>
      <c r="E16" s="2">
        <v>25</v>
      </c>
      <c r="F16" s="2" t="s">
        <v>474</v>
      </c>
      <c r="G16" s="2" t="s">
        <v>433</v>
      </c>
      <c r="H16" s="2">
        <v>83.3</v>
      </c>
      <c r="I16" s="2">
        <v>2025</v>
      </c>
      <c r="J16" s="2" t="s">
        <v>475</v>
      </c>
    </row>
    <row r="17" spans="2:10" ht="17" x14ac:dyDescent="0.2">
      <c r="B17" s="2" t="s">
        <v>476</v>
      </c>
      <c r="C17" s="2">
        <v>2019</v>
      </c>
      <c r="D17" s="2">
        <v>12</v>
      </c>
      <c r="E17" s="2">
        <v>20</v>
      </c>
      <c r="F17" s="2" t="s">
        <v>218</v>
      </c>
      <c r="G17" s="2" t="s">
        <v>433</v>
      </c>
      <c r="H17" s="2" t="s">
        <v>477</v>
      </c>
      <c r="I17" s="2">
        <v>2024</v>
      </c>
      <c r="J17" s="2" t="s">
        <v>478</v>
      </c>
    </row>
    <row r="18" spans="2:10" ht="34" x14ac:dyDescent="0.2">
      <c r="B18" s="2" t="s">
        <v>311</v>
      </c>
      <c r="C18" s="2">
        <v>2020</v>
      </c>
      <c r="D18" s="2">
        <v>400</v>
      </c>
      <c r="E18" s="2">
        <v>20</v>
      </c>
      <c r="F18" s="2" t="s">
        <v>218</v>
      </c>
      <c r="G18" s="2" t="s">
        <v>433</v>
      </c>
      <c r="H18" s="2">
        <v>58.4</v>
      </c>
      <c r="I18" s="2">
        <v>2025</v>
      </c>
      <c r="J18" s="2" t="s">
        <v>470</v>
      </c>
    </row>
    <row r="19" spans="2:10" ht="34" x14ac:dyDescent="0.2">
      <c r="B19" s="2" t="s">
        <v>311</v>
      </c>
      <c r="C19" s="2">
        <v>2020</v>
      </c>
      <c r="D19" s="2">
        <v>404</v>
      </c>
      <c r="E19" s="2">
        <v>20</v>
      </c>
      <c r="F19" s="2" t="s">
        <v>218</v>
      </c>
      <c r="G19" s="2" t="s">
        <v>433</v>
      </c>
      <c r="H19" s="2">
        <v>58.4</v>
      </c>
      <c r="I19" s="2">
        <v>2025</v>
      </c>
      <c r="J19" s="2" t="s">
        <v>470</v>
      </c>
    </row>
    <row r="20" spans="2:10" ht="17" x14ac:dyDescent="0.2">
      <c r="B20" s="2" t="s">
        <v>351</v>
      </c>
      <c r="C20" s="2">
        <v>2020</v>
      </c>
      <c r="D20" s="2">
        <v>21</v>
      </c>
      <c r="E20" s="2">
        <v>20</v>
      </c>
      <c r="F20" s="2" t="s">
        <v>218</v>
      </c>
      <c r="G20" s="2" t="s">
        <v>433</v>
      </c>
      <c r="H20" s="2" t="s">
        <v>477</v>
      </c>
      <c r="I20" s="2">
        <v>2024</v>
      </c>
      <c r="J20" s="2" t="s">
        <v>479</v>
      </c>
    </row>
    <row r="21" spans="2:10" ht="17" x14ac:dyDescent="0.2">
      <c r="B21" s="2" t="s">
        <v>98</v>
      </c>
      <c r="C21" s="2">
        <v>2021</v>
      </c>
      <c r="D21" s="2">
        <v>800</v>
      </c>
      <c r="E21" s="2">
        <v>20</v>
      </c>
      <c r="F21" s="2" t="s">
        <v>218</v>
      </c>
      <c r="G21" s="2" t="s">
        <v>433</v>
      </c>
      <c r="H21" s="2">
        <v>79.8</v>
      </c>
      <c r="I21" s="2">
        <v>2025</v>
      </c>
      <c r="J21" s="2" t="s">
        <v>471</v>
      </c>
    </row>
    <row r="22" spans="2:10" ht="17" x14ac:dyDescent="0.2">
      <c r="B22" s="2" t="s">
        <v>321</v>
      </c>
      <c r="C22" s="2">
        <v>2021</v>
      </c>
      <c r="D22" s="72">
        <v>1260</v>
      </c>
      <c r="E22" s="2">
        <v>25</v>
      </c>
      <c r="F22" s="2" t="s">
        <v>474</v>
      </c>
      <c r="G22" s="2" t="s">
        <v>433</v>
      </c>
      <c r="H22" s="2">
        <v>107.5</v>
      </c>
      <c r="I22" s="2">
        <v>2027</v>
      </c>
      <c r="J22" s="2" t="s">
        <v>475</v>
      </c>
    </row>
    <row r="23" spans="2:10" ht="17" x14ac:dyDescent="0.2">
      <c r="B23" s="2" t="s">
        <v>307</v>
      </c>
      <c r="C23" s="2">
        <v>2021</v>
      </c>
      <c r="D23" s="72">
        <v>1230</v>
      </c>
      <c r="E23" s="2">
        <v>25</v>
      </c>
      <c r="F23" s="2" t="s">
        <v>474</v>
      </c>
      <c r="G23" s="2" t="s">
        <v>433</v>
      </c>
      <c r="H23" s="2">
        <v>118</v>
      </c>
      <c r="I23" s="2">
        <v>2028</v>
      </c>
      <c r="J23" s="2" t="s">
        <v>475</v>
      </c>
    </row>
    <row r="24" spans="2:10" ht="51" x14ac:dyDescent="0.2">
      <c r="B24" s="2" t="s">
        <v>348</v>
      </c>
      <c r="C24" s="2">
        <v>2021</v>
      </c>
      <c r="D24" s="72">
        <v>1148</v>
      </c>
      <c r="E24" s="2">
        <v>20</v>
      </c>
      <c r="F24" s="2" t="s">
        <v>472</v>
      </c>
      <c r="G24" s="2" t="s">
        <v>433</v>
      </c>
      <c r="H24" s="2">
        <v>42.3</v>
      </c>
      <c r="I24" s="2">
        <v>2027</v>
      </c>
      <c r="J24" s="2" t="s">
        <v>480</v>
      </c>
    </row>
    <row r="25" spans="2:10" ht="51" x14ac:dyDescent="0.2">
      <c r="B25" s="2" t="s">
        <v>481</v>
      </c>
      <c r="C25" s="2">
        <v>2021</v>
      </c>
      <c r="D25" s="72">
        <v>1510</v>
      </c>
      <c r="E25" s="2">
        <v>20</v>
      </c>
      <c r="F25" s="2" t="s">
        <v>472</v>
      </c>
      <c r="G25" s="2" t="s">
        <v>433</v>
      </c>
      <c r="H25" s="2">
        <v>58.8</v>
      </c>
      <c r="I25" s="2">
        <v>2028</v>
      </c>
      <c r="J25" s="2" t="s">
        <v>480</v>
      </c>
    </row>
    <row r="26" spans="2:10" ht="17" x14ac:dyDescent="0.2">
      <c r="B26" s="2" t="s">
        <v>363</v>
      </c>
      <c r="C26" s="2">
        <v>2021</v>
      </c>
      <c r="D26" s="2">
        <v>846</v>
      </c>
      <c r="E26" s="2">
        <v>20</v>
      </c>
      <c r="F26" s="2" t="s">
        <v>467</v>
      </c>
      <c r="G26" s="2" t="s">
        <v>433</v>
      </c>
      <c r="H26" s="2">
        <v>71.599999999999994</v>
      </c>
      <c r="I26" s="2">
        <v>2026</v>
      </c>
      <c r="J26" s="2" t="s">
        <v>469</v>
      </c>
    </row>
    <row r="27" spans="2:10" ht="17" x14ac:dyDescent="0.2">
      <c r="B27" s="2" t="s">
        <v>482</v>
      </c>
      <c r="C27" s="2">
        <v>2021</v>
      </c>
      <c r="D27" s="2">
        <v>808</v>
      </c>
      <c r="E27" s="2">
        <v>20</v>
      </c>
      <c r="F27" s="2" t="s">
        <v>467</v>
      </c>
      <c r="G27" s="2" t="s">
        <v>433</v>
      </c>
      <c r="H27" s="2">
        <v>71.599999999999994</v>
      </c>
      <c r="I27" s="2">
        <v>2026</v>
      </c>
      <c r="J27" s="2" t="s">
        <v>469</v>
      </c>
    </row>
    <row r="28" spans="2:10" ht="34" x14ac:dyDescent="0.2">
      <c r="B28" s="2" t="s">
        <v>313</v>
      </c>
      <c r="C28" s="2">
        <v>2021</v>
      </c>
      <c r="D28" s="2">
        <v>400</v>
      </c>
      <c r="E28" s="2">
        <v>20</v>
      </c>
      <c r="F28" s="2" t="s">
        <v>218</v>
      </c>
      <c r="G28" s="2" t="s">
        <v>433</v>
      </c>
      <c r="H28" s="2">
        <v>77</v>
      </c>
      <c r="I28" s="2">
        <v>2025</v>
      </c>
      <c r="J28" s="2" t="s">
        <v>470</v>
      </c>
    </row>
    <row r="29" spans="2:10" ht="34" x14ac:dyDescent="0.2">
      <c r="B29" s="2" t="s">
        <v>306</v>
      </c>
      <c r="C29" s="2">
        <v>2021</v>
      </c>
      <c r="D29" s="72">
        <v>1232</v>
      </c>
      <c r="E29" s="2">
        <v>20</v>
      </c>
      <c r="F29" s="2" t="s">
        <v>218</v>
      </c>
      <c r="G29" s="2" t="s">
        <v>433</v>
      </c>
      <c r="H29" s="2">
        <v>72</v>
      </c>
      <c r="I29" s="2">
        <v>2027</v>
      </c>
      <c r="J29" s="2" t="s">
        <v>470</v>
      </c>
    </row>
    <row r="30" spans="2:10" ht="34" x14ac:dyDescent="0.2">
      <c r="B30" s="2" t="s">
        <v>207</v>
      </c>
      <c r="C30" s="2">
        <v>2021</v>
      </c>
      <c r="D30" s="72">
        <v>2640</v>
      </c>
      <c r="E30" s="2" t="s">
        <v>164</v>
      </c>
      <c r="F30" s="2" t="s">
        <v>210</v>
      </c>
      <c r="G30" s="2" t="s">
        <v>87</v>
      </c>
      <c r="H30" s="2" t="s">
        <v>477</v>
      </c>
      <c r="I30" s="2" t="s">
        <v>87</v>
      </c>
      <c r="J30" s="2" t="s">
        <v>208</v>
      </c>
    </row>
    <row r="31" spans="2:10" ht="17" x14ac:dyDescent="0.2">
      <c r="B31" s="66" t="s">
        <v>483</v>
      </c>
      <c r="C31" s="66"/>
      <c r="D31" s="67">
        <v>17597</v>
      </c>
      <c r="E31" s="66"/>
      <c r="F31" s="66"/>
      <c r="G31" s="66"/>
      <c r="H31" s="66"/>
      <c r="I31" s="66"/>
      <c r="J31" s="66"/>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6A06C-C726-C447-B5FB-6C98716EB7D0}">
  <dimension ref="B1:G13"/>
  <sheetViews>
    <sheetView workbookViewId="0">
      <selection activeCell="B9" sqref="B9"/>
    </sheetView>
  </sheetViews>
  <sheetFormatPr baseColWidth="10" defaultRowHeight="16" x14ac:dyDescent="0.2"/>
  <cols>
    <col min="2" max="2" width="27.5" customWidth="1"/>
    <col min="3" max="3" width="21.83203125" customWidth="1"/>
    <col min="4" max="4" width="12.6640625" customWidth="1"/>
    <col min="5" max="5" width="27.33203125" customWidth="1"/>
    <col min="6" max="6" width="41" customWidth="1"/>
    <col min="7" max="7" width="16.5" bestFit="1" customWidth="1"/>
  </cols>
  <sheetData>
    <row r="1" spans="2:7" ht="24" x14ac:dyDescent="0.3">
      <c r="B1" s="7" t="s">
        <v>485</v>
      </c>
    </row>
    <row r="3" spans="2:7" ht="17" x14ac:dyDescent="0.2">
      <c r="B3" s="59" t="s">
        <v>61</v>
      </c>
      <c r="C3" s="59" t="s">
        <v>486</v>
      </c>
      <c r="D3" s="59" t="s">
        <v>487</v>
      </c>
      <c r="E3" s="59" t="s">
        <v>488</v>
      </c>
      <c r="F3" s="2" t="s">
        <v>489</v>
      </c>
      <c r="G3" s="2" t="s">
        <v>490</v>
      </c>
    </row>
    <row r="4" spans="2:7" ht="17" x14ac:dyDescent="0.2">
      <c r="B4" s="59" t="s">
        <v>51</v>
      </c>
      <c r="C4" s="59" t="s">
        <v>164</v>
      </c>
      <c r="D4" s="59" t="s">
        <v>164</v>
      </c>
      <c r="E4" s="74">
        <v>12</v>
      </c>
      <c r="F4" s="2" t="s">
        <v>491</v>
      </c>
      <c r="G4" s="2"/>
    </row>
    <row r="5" spans="2:7" ht="68" x14ac:dyDescent="0.2">
      <c r="B5" s="59" t="s">
        <v>52</v>
      </c>
      <c r="C5" s="65">
        <v>5600</v>
      </c>
      <c r="D5" s="59">
        <v>2035</v>
      </c>
      <c r="E5" s="74">
        <v>3236</v>
      </c>
      <c r="F5" s="2" t="s">
        <v>495</v>
      </c>
      <c r="G5" s="76" t="s">
        <v>499</v>
      </c>
    </row>
    <row r="6" spans="2:7" ht="17" x14ac:dyDescent="0.2">
      <c r="B6" s="59" t="s">
        <v>53</v>
      </c>
      <c r="C6" s="59" t="s">
        <v>164</v>
      </c>
      <c r="D6" s="59" t="s">
        <v>164</v>
      </c>
      <c r="E6" s="74">
        <v>430</v>
      </c>
      <c r="F6" s="2" t="s">
        <v>491</v>
      </c>
      <c r="G6" s="76" t="s">
        <v>164</v>
      </c>
    </row>
    <row r="7" spans="2:7" ht="17" x14ac:dyDescent="0.2">
      <c r="B7" s="2" t="s">
        <v>62</v>
      </c>
      <c r="C7" s="72">
        <v>2000</v>
      </c>
      <c r="D7" s="2">
        <v>2030</v>
      </c>
      <c r="E7" s="73">
        <v>1104</v>
      </c>
      <c r="F7" s="2" t="s">
        <v>492</v>
      </c>
      <c r="G7" s="76">
        <v>2019</v>
      </c>
    </row>
    <row r="8" spans="2:7" ht="51" x14ac:dyDescent="0.2">
      <c r="B8" s="2" t="s">
        <v>54</v>
      </c>
      <c r="C8" s="72">
        <v>9000</v>
      </c>
      <c r="D8" s="2">
        <v>2035</v>
      </c>
      <c r="E8" s="73">
        <v>4362</v>
      </c>
      <c r="F8" s="2" t="s">
        <v>498</v>
      </c>
      <c r="G8" s="76" t="s">
        <v>500</v>
      </c>
    </row>
    <row r="9" spans="2:7" ht="51" x14ac:dyDescent="0.2">
      <c r="B9" s="2" t="s">
        <v>55</v>
      </c>
      <c r="C9" s="72">
        <v>7500</v>
      </c>
      <c r="D9" s="2">
        <v>2035</v>
      </c>
      <c r="E9" s="73">
        <v>3758</v>
      </c>
      <c r="F9" s="2" t="s">
        <v>496</v>
      </c>
      <c r="G9" s="76">
        <v>2010</v>
      </c>
    </row>
    <row r="10" spans="2:7" ht="34" x14ac:dyDescent="0.2">
      <c r="B10" s="2" t="s">
        <v>57</v>
      </c>
      <c r="C10" s="72">
        <v>2022</v>
      </c>
      <c r="D10" s="2">
        <v>2030</v>
      </c>
      <c r="E10" s="72">
        <v>2022</v>
      </c>
      <c r="F10" s="2" t="s">
        <v>497</v>
      </c>
      <c r="G10" s="76" t="s">
        <v>501</v>
      </c>
    </row>
    <row r="11" spans="2:7" ht="17" x14ac:dyDescent="0.2">
      <c r="B11" s="2" t="s">
        <v>58</v>
      </c>
      <c r="C11" s="72">
        <v>5200</v>
      </c>
      <c r="D11" s="2">
        <v>2034</v>
      </c>
      <c r="E11" s="72">
        <v>2652</v>
      </c>
      <c r="F11" s="2" t="s">
        <v>493</v>
      </c>
      <c r="G11" s="76">
        <v>2021</v>
      </c>
    </row>
    <row r="12" spans="2:7" ht="17" x14ac:dyDescent="0.2">
      <c r="B12" s="2" t="s">
        <v>79</v>
      </c>
      <c r="C12" s="72">
        <v>8000</v>
      </c>
      <c r="D12" s="2">
        <v>2040</v>
      </c>
      <c r="E12" s="2" t="s">
        <v>164</v>
      </c>
      <c r="F12" s="2" t="s">
        <v>494</v>
      </c>
      <c r="G12" s="76">
        <v>2021</v>
      </c>
    </row>
    <row r="13" spans="2:7" ht="17" x14ac:dyDescent="0.2">
      <c r="B13" s="66" t="s">
        <v>80</v>
      </c>
      <c r="C13" s="67">
        <v>39322</v>
      </c>
      <c r="D13" s="66"/>
      <c r="E13" s="67">
        <v>17597</v>
      </c>
      <c r="F13" s="66"/>
      <c r="G13" s="77"/>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349D-F4E2-0D4D-9D91-B71C914C61F8}">
  <dimension ref="B1:F15"/>
  <sheetViews>
    <sheetView workbookViewId="0">
      <selection activeCell="C13" sqref="C13"/>
    </sheetView>
  </sheetViews>
  <sheetFormatPr baseColWidth="10" defaultRowHeight="16" x14ac:dyDescent="0.2"/>
  <cols>
    <col min="2" max="2" width="27.5" customWidth="1"/>
    <col min="3" max="3" width="25.33203125" bestFit="1" customWidth="1"/>
    <col min="4" max="4" width="28.1640625" bestFit="1" customWidth="1"/>
    <col min="5" max="5" width="25.6640625" bestFit="1" customWidth="1"/>
    <col min="6" max="6" width="26" bestFit="1" customWidth="1"/>
  </cols>
  <sheetData>
    <row r="1" spans="2:6" ht="24" x14ac:dyDescent="0.3">
      <c r="B1" s="7" t="s">
        <v>502</v>
      </c>
    </row>
    <row r="3" spans="2:6" ht="17" x14ac:dyDescent="0.2">
      <c r="B3" s="59" t="s">
        <v>503</v>
      </c>
      <c r="C3" s="59" t="s">
        <v>504</v>
      </c>
      <c r="D3" s="59" t="s">
        <v>505</v>
      </c>
      <c r="E3" s="59" t="s">
        <v>506</v>
      </c>
      <c r="F3" s="2" t="s">
        <v>507</v>
      </c>
    </row>
    <row r="4" spans="2:6" ht="51" x14ac:dyDescent="0.2">
      <c r="B4" s="59" t="s">
        <v>508</v>
      </c>
      <c r="C4" s="59" t="s">
        <v>509</v>
      </c>
      <c r="D4" s="59" t="s">
        <v>510</v>
      </c>
      <c r="E4" s="74" t="s">
        <v>511</v>
      </c>
      <c r="F4" s="2" t="s">
        <v>512</v>
      </c>
    </row>
    <row r="5" spans="2:6" ht="34" x14ac:dyDescent="0.2">
      <c r="B5" s="59" t="s">
        <v>513</v>
      </c>
      <c r="C5" s="65" t="s">
        <v>514</v>
      </c>
      <c r="D5" s="59" t="s">
        <v>515</v>
      </c>
      <c r="E5" s="74" t="s">
        <v>516</v>
      </c>
      <c r="F5" s="2" t="s">
        <v>517</v>
      </c>
    </row>
    <row r="6" spans="2:6" ht="17" x14ac:dyDescent="0.2">
      <c r="B6" s="59" t="s">
        <v>518</v>
      </c>
      <c r="C6" s="59" t="s">
        <v>519</v>
      </c>
      <c r="D6" s="59" t="s">
        <v>520</v>
      </c>
      <c r="E6" s="74" t="s">
        <v>521</v>
      </c>
      <c r="F6" s="2" t="s">
        <v>522</v>
      </c>
    </row>
    <row r="7" spans="2:6" ht="34" x14ac:dyDescent="0.2">
      <c r="B7" s="2" t="s">
        <v>523</v>
      </c>
      <c r="C7" s="72" t="s">
        <v>524</v>
      </c>
      <c r="D7" s="2" t="s">
        <v>89</v>
      </c>
      <c r="E7" s="73" t="s">
        <v>525</v>
      </c>
      <c r="F7" s="2" t="s">
        <v>526</v>
      </c>
    </row>
    <row r="8" spans="2:6" ht="51" x14ac:dyDescent="0.2">
      <c r="B8" s="2" t="s">
        <v>527</v>
      </c>
      <c r="C8" s="72" t="s">
        <v>528</v>
      </c>
      <c r="D8" s="2" t="s">
        <v>529</v>
      </c>
      <c r="E8" s="73" t="s">
        <v>530</v>
      </c>
      <c r="F8" s="2" t="s">
        <v>531</v>
      </c>
    </row>
    <row r="9" spans="2:6" ht="51" x14ac:dyDescent="0.2">
      <c r="B9" s="2" t="s">
        <v>532</v>
      </c>
      <c r="C9" s="72" t="s">
        <v>533</v>
      </c>
      <c r="D9" s="2" t="s">
        <v>534</v>
      </c>
      <c r="E9" s="73" t="s">
        <v>535</v>
      </c>
      <c r="F9" s="2" t="s">
        <v>536</v>
      </c>
    </row>
    <row r="10" spans="2:6" ht="34" x14ac:dyDescent="0.2">
      <c r="B10" s="2" t="s">
        <v>537</v>
      </c>
      <c r="C10" s="72" t="s">
        <v>538</v>
      </c>
      <c r="D10" s="2" t="s">
        <v>96</v>
      </c>
      <c r="E10" s="72" t="s">
        <v>539</v>
      </c>
      <c r="F10" s="2" t="s">
        <v>540</v>
      </c>
    </row>
    <row r="11" spans="2:6" ht="34" x14ac:dyDescent="0.2">
      <c r="B11" s="2" t="s">
        <v>541</v>
      </c>
      <c r="C11" s="72" t="s">
        <v>542</v>
      </c>
      <c r="D11" s="2" t="s">
        <v>543</v>
      </c>
      <c r="E11" s="72" t="s">
        <v>511</v>
      </c>
      <c r="F11" s="2" t="s">
        <v>544</v>
      </c>
    </row>
    <row r="12" spans="2:6" ht="51" x14ac:dyDescent="0.2">
      <c r="B12" s="2" t="s">
        <v>545</v>
      </c>
      <c r="C12" s="72" t="s">
        <v>546</v>
      </c>
      <c r="D12" s="2" t="s">
        <v>521</v>
      </c>
      <c r="E12" s="2" t="s">
        <v>547</v>
      </c>
      <c r="F12" s="2" t="s">
        <v>548</v>
      </c>
    </row>
    <row r="13" spans="2:6" ht="68" x14ac:dyDescent="0.2">
      <c r="B13" s="63" t="s">
        <v>549</v>
      </c>
      <c r="C13" s="64" t="s">
        <v>550</v>
      </c>
      <c r="D13" s="63" t="s">
        <v>521</v>
      </c>
      <c r="E13" s="64" t="s">
        <v>551</v>
      </c>
      <c r="F13" s="63" t="s">
        <v>552</v>
      </c>
    </row>
    <row r="14" spans="2:6" ht="34" x14ac:dyDescent="0.2">
      <c r="B14" s="2" t="s">
        <v>553</v>
      </c>
      <c r="C14" s="2" t="s">
        <v>554</v>
      </c>
      <c r="D14" s="2" t="s">
        <v>555</v>
      </c>
      <c r="E14" s="2">
        <v>2018</v>
      </c>
      <c r="F14" s="2" t="s">
        <v>556</v>
      </c>
    </row>
    <row r="15" spans="2:6" ht="34" x14ac:dyDescent="0.2">
      <c r="B15" s="2" t="s">
        <v>557</v>
      </c>
      <c r="C15" s="2" t="s">
        <v>558</v>
      </c>
      <c r="D15" s="2" t="s">
        <v>559</v>
      </c>
      <c r="E15" s="2" t="s">
        <v>521</v>
      </c>
      <c r="F15" s="2" t="s">
        <v>560</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1369-982C-3A40-BADF-ACFF389047AA}">
  <dimension ref="B1:E10"/>
  <sheetViews>
    <sheetView workbookViewId="0">
      <selection activeCell="B2" sqref="B2"/>
    </sheetView>
  </sheetViews>
  <sheetFormatPr baseColWidth="10" defaultRowHeight="16" x14ac:dyDescent="0.2"/>
  <cols>
    <col min="2" max="2" width="27.5" customWidth="1"/>
    <col min="3" max="3" width="25.33203125" bestFit="1" customWidth="1"/>
    <col min="4" max="4" width="28.1640625" bestFit="1" customWidth="1"/>
    <col min="5" max="5" width="25.6640625" bestFit="1" customWidth="1"/>
  </cols>
  <sheetData>
    <row r="1" spans="2:5" ht="24" x14ac:dyDescent="0.3">
      <c r="B1" s="7" t="s">
        <v>818</v>
      </c>
    </row>
    <row r="3" spans="2:5" ht="17" x14ac:dyDescent="0.2">
      <c r="B3" s="59" t="s">
        <v>561</v>
      </c>
      <c r="C3" s="59" t="s">
        <v>562</v>
      </c>
      <c r="D3" s="59" t="s">
        <v>563</v>
      </c>
      <c r="E3" s="59" t="s">
        <v>507</v>
      </c>
    </row>
    <row r="4" spans="2:5" ht="34" x14ac:dyDescent="0.2">
      <c r="B4" s="59" t="s">
        <v>564</v>
      </c>
      <c r="C4" s="59" t="s">
        <v>565</v>
      </c>
      <c r="D4" s="59" t="s">
        <v>566</v>
      </c>
      <c r="E4" s="74" t="s">
        <v>567</v>
      </c>
    </row>
    <row r="5" spans="2:5" ht="34" x14ac:dyDescent="0.2">
      <c r="B5" s="59" t="s">
        <v>568</v>
      </c>
      <c r="C5" s="65" t="s">
        <v>569</v>
      </c>
      <c r="D5" s="59" t="s">
        <v>570</v>
      </c>
      <c r="E5" s="74" t="s">
        <v>571</v>
      </c>
    </row>
    <row r="6" spans="2:5" ht="34" x14ac:dyDescent="0.2">
      <c r="B6" s="59" t="s">
        <v>572</v>
      </c>
      <c r="C6" s="59" t="s">
        <v>573</v>
      </c>
      <c r="D6" s="59" t="s">
        <v>186</v>
      </c>
      <c r="E6" s="74" t="s">
        <v>560</v>
      </c>
    </row>
    <row r="7" spans="2:5" ht="34" x14ac:dyDescent="0.2">
      <c r="B7" s="2" t="s">
        <v>574</v>
      </c>
      <c r="C7" s="72" t="s">
        <v>575</v>
      </c>
      <c r="D7" s="2" t="s">
        <v>576</v>
      </c>
      <c r="E7" s="73" t="s">
        <v>577</v>
      </c>
    </row>
    <row r="8" spans="2:5" ht="17" x14ac:dyDescent="0.2">
      <c r="B8" s="2" t="s">
        <v>578</v>
      </c>
      <c r="C8" s="72" t="s">
        <v>579</v>
      </c>
      <c r="D8" s="2" t="s">
        <v>181</v>
      </c>
      <c r="E8" s="73" t="s">
        <v>580</v>
      </c>
    </row>
    <row r="9" spans="2:5" ht="34" x14ac:dyDescent="0.2">
      <c r="B9" s="2" t="s">
        <v>581</v>
      </c>
      <c r="C9" s="72" t="s">
        <v>582</v>
      </c>
      <c r="D9" s="2" t="s">
        <v>583</v>
      </c>
      <c r="E9" s="73" t="s">
        <v>584</v>
      </c>
    </row>
    <row r="10" spans="2:5" ht="34" x14ac:dyDescent="0.2">
      <c r="B10" s="2" t="s">
        <v>585</v>
      </c>
      <c r="C10" s="72" t="s">
        <v>586</v>
      </c>
      <c r="D10" s="2" t="s">
        <v>587</v>
      </c>
      <c r="E10" s="72" t="s">
        <v>588</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FD9B4-50C7-0F44-8DF8-3906A402A916}">
  <dimension ref="B1:G22"/>
  <sheetViews>
    <sheetView workbookViewId="0">
      <selection activeCell="F1" sqref="F1:F1048576"/>
    </sheetView>
  </sheetViews>
  <sheetFormatPr baseColWidth="10" defaultRowHeight="16" x14ac:dyDescent="0.2"/>
  <cols>
    <col min="2" max="2" width="27.5" customWidth="1"/>
    <col min="3" max="3" width="25.33203125" bestFit="1" customWidth="1"/>
    <col min="4" max="4" width="54.1640625" customWidth="1"/>
    <col min="5" max="5" width="25.6640625" bestFit="1" customWidth="1"/>
    <col min="6" max="6" width="14.6640625" style="3" customWidth="1"/>
    <col min="7" max="7" width="30.33203125" customWidth="1"/>
  </cols>
  <sheetData>
    <row r="1" spans="2:7" ht="24" x14ac:dyDescent="0.3">
      <c r="B1" s="7" t="s">
        <v>589</v>
      </c>
    </row>
    <row r="3" spans="2:7" ht="17" x14ac:dyDescent="0.2">
      <c r="B3" s="59" t="s">
        <v>562</v>
      </c>
      <c r="C3" s="59" t="s">
        <v>293</v>
      </c>
      <c r="D3" s="59" t="s">
        <v>590</v>
      </c>
      <c r="E3" s="59" t="s">
        <v>563</v>
      </c>
      <c r="F3" s="76" t="s">
        <v>591</v>
      </c>
      <c r="G3" s="2" t="s">
        <v>507</v>
      </c>
    </row>
    <row r="4" spans="2:7" ht="68" x14ac:dyDescent="0.2">
      <c r="B4" s="59" t="s">
        <v>97</v>
      </c>
      <c r="C4" s="59" t="s">
        <v>592</v>
      </c>
      <c r="D4" s="59" t="s">
        <v>593</v>
      </c>
      <c r="E4" s="74" t="s">
        <v>594</v>
      </c>
      <c r="F4" s="76">
        <v>157</v>
      </c>
      <c r="G4" s="2" t="s">
        <v>595</v>
      </c>
    </row>
    <row r="5" spans="2:7" ht="51" x14ac:dyDescent="0.2">
      <c r="B5" s="59" t="s">
        <v>98</v>
      </c>
      <c r="C5" s="65" t="s">
        <v>596</v>
      </c>
      <c r="D5" s="59" t="s">
        <v>597</v>
      </c>
      <c r="E5" s="74" t="s">
        <v>576</v>
      </c>
      <c r="F5" s="76" t="s">
        <v>598</v>
      </c>
      <c r="G5" s="2" t="s">
        <v>599</v>
      </c>
    </row>
    <row r="6" spans="2:7" ht="51" x14ac:dyDescent="0.2">
      <c r="B6" s="59" t="s">
        <v>98</v>
      </c>
      <c r="C6" s="59" t="s">
        <v>596</v>
      </c>
      <c r="D6" s="59" t="s">
        <v>600</v>
      </c>
      <c r="E6" s="74" t="s">
        <v>576</v>
      </c>
      <c r="F6" s="76" t="s">
        <v>601</v>
      </c>
      <c r="G6" s="2" t="s">
        <v>599</v>
      </c>
    </row>
    <row r="7" spans="2:7" ht="68" x14ac:dyDescent="0.2">
      <c r="B7" s="2" t="s">
        <v>91</v>
      </c>
      <c r="C7" s="72" t="s">
        <v>602</v>
      </c>
      <c r="D7" s="2" t="s">
        <v>603</v>
      </c>
      <c r="E7" s="73" t="s">
        <v>203</v>
      </c>
      <c r="F7" s="76">
        <v>13.2</v>
      </c>
      <c r="G7" s="2" t="s">
        <v>604</v>
      </c>
    </row>
    <row r="8" spans="2:7" ht="51" x14ac:dyDescent="0.2">
      <c r="B8" s="2"/>
      <c r="C8" s="72" t="s">
        <v>605</v>
      </c>
      <c r="D8" s="2" t="s">
        <v>606</v>
      </c>
      <c r="E8" s="73" t="s">
        <v>607</v>
      </c>
      <c r="F8" s="76">
        <v>113</v>
      </c>
      <c r="G8" s="2" t="s">
        <v>608</v>
      </c>
    </row>
    <row r="9" spans="2:7" ht="51" x14ac:dyDescent="0.2">
      <c r="B9" s="2"/>
      <c r="C9" s="72" t="s">
        <v>605</v>
      </c>
      <c r="D9" s="2" t="s">
        <v>609</v>
      </c>
      <c r="E9" s="73" t="s">
        <v>576</v>
      </c>
      <c r="F9" s="76">
        <v>0.05</v>
      </c>
      <c r="G9" s="2" t="s">
        <v>610</v>
      </c>
    </row>
    <row r="10" spans="2:7" ht="51" x14ac:dyDescent="0.2">
      <c r="B10" s="2"/>
      <c r="C10" s="72" t="s">
        <v>605</v>
      </c>
      <c r="D10" s="2" t="s">
        <v>611</v>
      </c>
      <c r="E10" s="72" t="s">
        <v>612</v>
      </c>
      <c r="F10" s="76" t="s">
        <v>613</v>
      </c>
      <c r="G10" s="2" t="s">
        <v>614</v>
      </c>
    </row>
    <row r="11" spans="2:7" ht="51" x14ac:dyDescent="0.2">
      <c r="B11" s="2"/>
      <c r="C11" s="2" t="s">
        <v>605</v>
      </c>
      <c r="D11" s="2" t="s">
        <v>615</v>
      </c>
      <c r="E11" s="2" t="s">
        <v>576</v>
      </c>
      <c r="F11" s="76">
        <v>9</v>
      </c>
      <c r="G11" s="2" t="s">
        <v>616</v>
      </c>
    </row>
    <row r="12" spans="2:7" ht="51" x14ac:dyDescent="0.2">
      <c r="B12" s="2" t="s">
        <v>617</v>
      </c>
      <c r="C12" s="2" t="s">
        <v>605</v>
      </c>
      <c r="D12" s="2" t="s">
        <v>618</v>
      </c>
      <c r="E12" s="2" t="s">
        <v>619</v>
      </c>
      <c r="F12" s="76" t="s">
        <v>613</v>
      </c>
      <c r="G12" s="2" t="s">
        <v>620</v>
      </c>
    </row>
    <row r="13" spans="2:7" ht="34" x14ac:dyDescent="0.2">
      <c r="B13" s="2" t="s">
        <v>306</v>
      </c>
      <c r="C13" s="2" t="s">
        <v>621</v>
      </c>
      <c r="D13" s="2" t="s">
        <v>622</v>
      </c>
      <c r="E13" s="2" t="s">
        <v>623</v>
      </c>
      <c r="F13" s="76" t="s">
        <v>613</v>
      </c>
      <c r="G13" s="2" t="s">
        <v>624</v>
      </c>
    </row>
    <row r="14" spans="2:7" ht="51" x14ac:dyDescent="0.2">
      <c r="B14" s="2" t="s">
        <v>90</v>
      </c>
      <c r="C14" s="2" t="s">
        <v>625</v>
      </c>
      <c r="D14" s="2" t="s">
        <v>626</v>
      </c>
      <c r="E14" s="2" t="s">
        <v>203</v>
      </c>
      <c r="F14" s="76" t="s">
        <v>613</v>
      </c>
      <c r="G14" s="2" t="s">
        <v>627</v>
      </c>
    </row>
    <row r="15" spans="2:7" ht="85" x14ac:dyDescent="0.2">
      <c r="B15" s="2" t="s">
        <v>89</v>
      </c>
      <c r="C15" s="2" t="s">
        <v>628</v>
      </c>
      <c r="D15" s="2" t="s">
        <v>629</v>
      </c>
      <c r="E15" s="2" t="s">
        <v>583</v>
      </c>
      <c r="F15" s="76">
        <v>60</v>
      </c>
      <c r="G15" s="2" t="s">
        <v>630</v>
      </c>
    </row>
    <row r="16" spans="2:7" ht="34" x14ac:dyDescent="0.2">
      <c r="B16" s="2" t="s">
        <v>586</v>
      </c>
      <c r="C16" s="2" t="s">
        <v>628</v>
      </c>
      <c r="D16" s="2" t="s">
        <v>631</v>
      </c>
      <c r="E16" s="2" t="s">
        <v>632</v>
      </c>
      <c r="F16" s="76" t="s">
        <v>633</v>
      </c>
      <c r="G16" s="2" t="s">
        <v>634</v>
      </c>
    </row>
    <row r="17" spans="2:7" ht="34" x14ac:dyDescent="0.2">
      <c r="B17" s="2" t="s">
        <v>99</v>
      </c>
      <c r="C17" s="2" t="s">
        <v>635</v>
      </c>
      <c r="D17" s="2" t="s">
        <v>636</v>
      </c>
      <c r="E17" s="2" t="s">
        <v>637</v>
      </c>
      <c r="F17" s="76">
        <v>11</v>
      </c>
      <c r="G17" s="2" t="s">
        <v>604</v>
      </c>
    </row>
    <row r="18" spans="2:7" ht="34" x14ac:dyDescent="0.2">
      <c r="B18" s="2"/>
      <c r="C18" s="2" t="s">
        <v>638</v>
      </c>
      <c r="D18" s="2" t="s">
        <v>639</v>
      </c>
      <c r="E18" s="2" t="s">
        <v>637</v>
      </c>
      <c r="F18" s="76" t="s">
        <v>613</v>
      </c>
      <c r="G18" s="2" t="s">
        <v>604</v>
      </c>
    </row>
    <row r="19" spans="2:7" ht="34" x14ac:dyDescent="0.2">
      <c r="B19" s="2" t="s">
        <v>97</v>
      </c>
      <c r="C19" s="2" t="s">
        <v>640</v>
      </c>
      <c r="D19" s="2" t="s">
        <v>641</v>
      </c>
      <c r="E19" s="2" t="s">
        <v>637</v>
      </c>
      <c r="F19" s="76">
        <v>40</v>
      </c>
      <c r="G19" s="2" t="s">
        <v>604</v>
      </c>
    </row>
    <row r="20" spans="2:7" ht="68" x14ac:dyDescent="0.2">
      <c r="B20" s="2" t="s">
        <v>98</v>
      </c>
      <c r="C20" s="2" t="s">
        <v>596</v>
      </c>
      <c r="D20" s="2" t="s">
        <v>642</v>
      </c>
      <c r="E20" s="2" t="s">
        <v>576</v>
      </c>
      <c r="F20" s="76" t="s">
        <v>613</v>
      </c>
      <c r="G20" s="2" t="s">
        <v>643</v>
      </c>
    </row>
    <row r="21" spans="2:7" ht="17" x14ac:dyDescent="0.2">
      <c r="B21" s="66"/>
      <c r="C21" s="66"/>
      <c r="D21" s="66" t="s">
        <v>644</v>
      </c>
      <c r="E21" s="66" t="s">
        <v>645</v>
      </c>
      <c r="F21" s="77" t="s">
        <v>646</v>
      </c>
      <c r="G21" s="66"/>
    </row>
    <row r="22" spans="2:7" ht="17" x14ac:dyDescent="0.2">
      <c r="B22" s="66"/>
      <c r="C22" s="66"/>
      <c r="D22" s="66" t="s">
        <v>647</v>
      </c>
      <c r="E22" s="66" t="s">
        <v>645</v>
      </c>
      <c r="F22" s="77" t="s">
        <v>648</v>
      </c>
      <c r="G22" s="66"/>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D975C-39B1-EB47-8D9D-031D206423D0}">
  <dimension ref="B1:F19"/>
  <sheetViews>
    <sheetView workbookViewId="0">
      <selection activeCell="F9" sqref="F9"/>
    </sheetView>
  </sheetViews>
  <sheetFormatPr baseColWidth="10" defaultRowHeight="16" x14ac:dyDescent="0.2"/>
  <cols>
    <col min="2" max="2" width="27.5" customWidth="1"/>
    <col min="3" max="3" width="35.1640625" bestFit="1" customWidth="1"/>
    <col min="4" max="4" width="28.1640625" bestFit="1" customWidth="1"/>
    <col min="5" max="5" width="16.83203125" bestFit="1" customWidth="1"/>
    <col min="6" max="6" width="20.1640625" bestFit="1" customWidth="1"/>
  </cols>
  <sheetData>
    <row r="1" spans="2:6" ht="24" x14ac:dyDescent="0.3">
      <c r="B1" s="7" t="s">
        <v>649</v>
      </c>
    </row>
    <row r="3" spans="2:6" ht="34" x14ac:dyDescent="0.2">
      <c r="B3" s="59" t="s">
        <v>650</v>
      </c>
      <c r="C3" s="59" t="s">
        <v>293</v>
      </c>
      <c r="D3" s="2" t="s">
        <v>651</v>
      </c>
      <c r="E3" s="2" t="s">
        <v>84</v>
      </c>
      <c r="F3" s="2" t="s">
        <v>678</v>
      </c>
    </row>
    <row r="4" spans="2:6" ht="34" x14ac:dyDescent="0.2">
      <c r="B4" s="59" t="s">
        <v>652</v>
      </c>
      <c r="C4" s="74" t="s">
        <v>679</v>
      </c>
      <c r="D4" s="2" t="s">
        <v>75</v>
      </c>
      <c r="E4" s="2" t="s">
        <v>653</v>
      </c>
      <c r="F4" s="2">
        <v>200</v>
      </c>
    </row>
    <row r="5" spans="2:6" ht="34" x14ac:dyDescent="0.2">
      <c r="B5" s="2" t="s">
        <v>680</v>
      </c>
      <c r="C5" s="72" t="s">
        <v>681</v>
      </c>
      <c r="D5" s="73" t="s">
        <v>654</v>
      </c>
      <c r="E5" s="2" t="s">
        <v>655</v>
      </c>
      <c r="F5" s="2"/>
    </row>
    <row r="6" spans="2:6" ht="17" x14ac:dyDescent="0.2">
      <c r="B6" s="2" t="s">
        <v>680</v>
      </c>
      <c r="C6" s="72" t="s">
        <v>681</v>
      </c>
      <c r="D6" s="73" t="s">
        <v>656</v>
      </c>
      <c r="E6" s="2" t="s">
        <v>653</v>
      </c>
      <c r="F6" s="2" t="s">
        <v>655</v>
      </c>
    </row>
    <row r="7" spans="2:6" ht="17" x14ac:dyDescent="0.2">
      <c r="B7" s="2" t="s">
        <v>657</v>
      </c>
      <c r="C7" s="2" t="s">
        <v>685</v>
      </c>
      <c r="D7" s="2" t="s">
        <v>658</v>
      </c>
      <c r="E7" s="2" t="s">
        <v>159</v>
      </c>
      <c r="F7" s="2">
        <v>350</v>
      </c>
    </row>
    <row r="8" spans="2:6" ht="17" x14ac:dyDescent="0.2">
      <c r="B8" s="2" t="s">
        <v>659</v>
      </c>
      <c r="C8" s="2" t="s">
        <v>660</v>
      </c>
      <c r="D8" s="2" t="s">
        <v>661</v>
      </c>
      <c r="E8" s="2" t="s">
        <v>662</v>
      </c>
      <c r="F8" s="2">
        <v>250</v>
      </c>
    </row>
    <row r="9" spans="2:6" ht="17" x14ac:dyDescent="0.2">
      <c r="B9" s="2"/>
      <c r="C9" s="2" t="s">
        <v>682</v>
      </c>
      <c r="D9" s="2" t="s">
        <v>118</v>
      </c>
      <c r="E9" s="2" t="s">
        <v>159</v>
      </c>
      <c r="F9" s="2">
        <v>150</v>
      </c>
    </row>
    <row r="10" spans="2:6" ht="17" x14ac:dyDescent="0.2">
      <c r="B10" s="2" t="s">
        <v>663</v>
      </c>
      <c r="C10" s="2" t="s">
        <v>664</v>
      </c>
      <c r="D10" s="2"/>
      <c r="E10" s="2" t="s">
        <v>159</v>
      </c>
      <c r="F10" s="2">
        <v>140</v>
      </c>
    </row>
    <row r="11" spans="2:6" ht="17" x14ac:dyDescent="0.2">
      <c r="B11" s="2" t="s">
        <v>665</v>
      </c>
      <c r="C11" s="2" t="s">
        <v>683</v>
      </c>
      <c r="D11" s="2" t="s">
        <v>666</v>
      </c>
      <c r="E11" s="2" t="s">
        <v>159</v>
      </c>
      <c r="F11" s="2">
        <v>40</v>
      </c>
    </row>
    <row r="12" spans="2:6" ht="17" x14ac:dyDescent="0.2">
      <c r="B12" s="2" t="s">
        <v>667</v>
      </c>
      <c r="C12" s="2" t="s">
        <v>684</v>
      </c>
      <c r="D12" s="2" t="s">
        <v>666</v>
      </c>
      <c r="E12" s="2" t="s">
        <v>159</v>
      </c>
      <c r="F12" s="2">
        <v>86</v>
      </c>
    </row>
    <row r="13" spans="2:6" ht="17" x14ac:dyDescent="0.2">
      <c r="B13" s="63" t="s">
        <v>668</v>
      </c>
      <c r="C13" s="63" t="s">
        <v>685</v>
      </c>
      <c r="D13" s="63" t="s">
        <v>669</v>
      </c>
      <c r="E13" s="2" t="s">
        <v>159</v>
      </c>
      <c r="F13" s="2" t="s">
        <v>655</v>
      </c>
    </row>
    <row r="14" spans="2:6" ht="34" x14ac:dyDescent="0.2">
      <c r="B14" s="2" t="s">
        <v>670</v>
      </c>
      <c r="C14" s="2" t="s">
        <v>686</v>
      </c>
      <c r="D14" s="2" t="s">
        <v>671</v>
      </c>
      <c r="E14" s="2" t="s">
        <v>104</v>
      </c>
      <c r="F14" s="2">
        <v>200</v>
      </c>
    </row>
    <row r="15" spans="2:6" ht="34" x14ac:dyDescent="0.2">
      <c r="B15" s="2" t="s">
        <v>670</v>
      </c>
      <c r="C15" s="2" t="s">
        <v>687</v>
      </c>
      <c r="D15" s="2" t="s">
        <v>672</v>
      </c>
      <c r="E15" s="2" t="s">
        <v>104</v>
      </c>
      <c r="F15" s="2">
        <v>4</v>
      </c>
    </row>
    <row r="16" spans="2:6" ht="17" x14ac:dyDescent="0.2">
      <c r="B16" s="2" t="s">
        <v>670</v>
      </c>
      <c r="C16" s="2" t="s">
        <v>673</v>
      </c>
      <c r="D16" s="2" t="s">
        <v>203</v>
      </c>
      <c r="E16" s="2" t="s">
        <v>159</v>
      </c>
      <c r="F16" s="2">
        <v>150</v>
      </c>
    </row>
    <row r="17" spans="2:6" ht="17" x14ac:dyDescent="0.2">
      <c r="B17" s="2" t="s">
        <v>670</v>
      </c>
      <c r="C17" s="2" t="s">
        <v>688</v>
      </c>
      <c r="D17" s="2" t="s">
        <v>674</v>
      </c>
      <c r="E17" s="2" t="s">
        <v>159</v>
      </c>
      <c r="F17" s="2">
        <v>200</v>
      </c>
    </row>
    <row r="18" spans="2:6" ht="17" x14ac:dyDescent="0.2">
      <c r="B18" s="2" t="s">
        <v>675</v>
      </c>
      <c r="C18" s="2" t="s">
        <v>689</v>
      </c>
      <c r="D18" s="2" t="s">
        <v>676</v>
      </c>
      <c r="E18" s="2" t="s">
        <v>104</v>
      </c>
      <c r="F18" s="2" t="s">
        <v>655</v>
      </c>
    </row>
    <row r="19" spans="2:6" ht="51" x14ac:dyDescent="0.2">
      <c r="B19" s="66" t="s">
        <v>677</v>
      </c>
      <c r="C19" s="66"/>
      <c r="D19" s="66"/>
      <c r="E19" s="67">
        <v>1320</v>
      </c>
      <c r="F19" s="66"/>
    </row>
  </sheetData>
  <phoneticPr fontId="5" type="noConversion"/>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28"/>
  <sheetViews>
    <sheetView workbookViewId="0">
      <selection activeCell="C25" sqref="C25:L25"/>
    </sheetView>
  </sheetViews>
  <sheetFormatPr baseColWidth="10" defaultColWidth="11" defaultRowHeight="16" x14ac:dyDescent="0.2"/>
  <cols>
    <col min="2" max="2" width="26.5" customWidth="1"/>
    <col min="3" max="6" width="12.5" customWidth="1"/>
    <col min="7" max="7" width="13.5" customWidth="1"/>
    <col min="8" max="8" width="12.5" customWidth="1"/>
    <col min="9" max="9" width="14.33203125" customWidth="1"/>
    <col min="10" max="10" width="16.83203125" customWidth="1"/>
    <col min="11" max="11" width="15.33203125" customWidth="1"/>
  </cols>
  <sheetData>
    <row r="1" spans="2:13" ht="24" x14ac:dyDescent="0.3">
      <c r="B1" s="8" t="s">
        <v>223</v>
      </c>
    </row>
    <row r="3" spans="2:13" ht="17" x14ac:dyDescent="0.2">
      <c r="B3" s="32" t="s">
        <v>3</v>
      </c>
      <c r="C3" s="30" t="s">
        <v>5</v>
      </c>
      <c r="D3" s="30" t="s">
        <v>6</v>
      </c>
      <c r="E3" s="30" t="s">
        <v>7</v>
      </c>
      <c r="F3" s="30" t="s">
        <v>8</v>
      </c>
      <c r="G3" s="30" t="s">
        <v>9</v>
      </c>
      <c r="H3" s="30" t="s">
        <v>10</v>
      </c>
      <c r="I3" s="30" t="s">
        <v>48</v>
      </c>
      <c r="J3" s="30" t="s">
        <v>11</v>
      </c>
      <c r="K3" s="30" t="s">
        <v>12</v>
      </c>
      <c r="L3" s="31" t="s">
        <v>15</v>
      </c>
      <c r="M3" s="30" t="s">
        <v>80</v>
      </c>
    </row>
    <row r="4" spans="2:13" ht="17" x14ac:dyDescent="0.2">
      <c r="B4" s="33" t="s">
        <v>81</v>
      </c>
      <c r="C4" s="28">
        <v>0</v>
      </c>
      <c r="D4" s="28">
        <v>5</v>
      </c>
      <c r="E4" s="28">
        <v>0</v>
      </c>
      <c r="F4" s="28">
        <v>16.8</v>
      </c>
      <c r="G4" s="28">
        <v>0</v>
      </c>
      <c r="H4" s="28">
        <v>3.3</v>
      </c>
      <c r="I4" s="28">
        <v>0</v>
      </c>
      <c r="J4" s="28">
        <v>0</v>
      </c>
      <c r="K4" s="28">
        <v>0</v>
      </c>
      <c r="L4" s="62">
        <v>0</v>
      </c>
      <c r="M4" s="85">
        <v>25.1</v>
      </c>
    </row>
    <row r="5" spans="2:13" x14ac:dyDescent="0.2">
      <c r="B5" s="17">
        <v>2001</v>
      </c>
      <c r="C5" s="28">
        <v>0</v>
      </c>
      <c r="D5" s="28">
        <v>40</v>
      </c>
      <c r="E5" s="28">
        <v>0</v>
      </c>
      <c r="F5" s="28">
        <v>0</v>
      </c>
      <c r="G5" s="28">
        <v>0</v>
      </c>
      <c r="H5" s="28">
        <v>0</v>
      </c>
      <c r="I5" s="28">
        <v>0</v>
      </c>
      <c r="J5" s="28">
        <v>0</v>
      </c>
      <c r="K5" s="28">
        <v>0</v>
      </c>
      <c r="L5" s="62">
        <v>0</v>
      </c>
      <c r="M5" s="86">
        <v>40</v>
      </c>
    </row>
    <row r="6" spans="2:13" x14ac:dyDescent="0.2">
      <c r="B6" s="17">
        <v>2002</v>
      </c>
      <c r="C6" s="28">
        <v>0</v>
      </c>
      <c r="D6" s="28">
        <v>160</v>
      </c>
      <c r="E6" s="28">
        <v>0</v>
      </c>
      <c r="F6" s="28">
        <v>0</v>
      </c>
      <c r="G6" s="28">
        <v>0</v>
      </c>
      <c r="H6" s="28">
        <v>0</v>
      </c>
      <c r="I6" s="28">
        <v>0</v>
      </c>
      <c r="J6" s="28">
        <v>0</v>
      </c>
      <c r="K6" s="28">
        <v>0</v>
      </c>
      <c r="L6" s="62">
        <v>0</v>
      </c>
      <c r="M6" s="86">
        <v>160</v>
      </c>
    </row>
    <row r="7" spans="2:13" x14ac:dyDescent="0.2">
      <c r="B7" s="17">
        <v>2003</v>
      </c>
      <c r="C7" s="28">
        <v>0</v>
      </c>
      <c r="D7" s="28">
        <v>216.39999999999901</v>
      </c>
      <c r="E7" s="28">
        <v>0</v>
      </c>
      <c r="F7" s="28">
        <v>0</v>
      </c>
      <c r="G7" s="28">
        <v>0</v>
      </c>
      <c r="H7" s="28">
        <v>0</v>
      </c>
      <c r="I7" s="28">
        <v>0</v>
      </c>
      <c r="J7" s="28">
        <v>0</v>
      </c>
      <c r="K7" s="28">
        <v>0</v>
      </c>
      <c r="L7" s="62">
        <v>0</v>
      </c>
      <c r="M7" s="86">
        <v>216.39999999999901</v>
      </c>
    </row>
    <row r="8" spans="2:13" x14ac:dyDescent="0.2">
      <c r="B8" s="17">
        <v>2004</v>
      </c>
      <c r="C8" s="28">
        <v>0</v>
      </c>
      <c r="D8" s="28">
        <v>0</v>
      </c>
      <c r="E8" s="28">
        <v>4.5</v>
      </c>
      <c r="F8" s="28">
        <v>0</v>
      </c>
      <c r="G8" s="28">
        <v>11.32</v>
      </c>
      <c r="H8" s="28">
        <v>25.2</v>
      </c>
      <c r="I8" s="28">
        <v>0</v>
      </c>
      <c r="J8" s="28">
        <v>120</v>
      </c>
      <c r="K8" s="28">
        <v>0</v>
      </c>
      <c r="L8" s="62">
        <v>0</v>
      </c>
      <c r="M8" s="86">
        <v>161.01999999999899</v>
      </c>
    </row>
    <row r="9" spans="2:13" x14ac:dyDescent="0.2">
      <c r="B9" s="17">
        <v>2005</v>
      </c>
      <c r="C9" s="28">
        <v>0</v>
      </c>
      <c r="D9" s="28">
        <v>0</v>
      </c>
      <c r="E9" s="28">
        <v>0</v>
      </c>
      <c r="F9" s="28">
        <v>0</v>
      </c>
      <c r="G9" s="28">
        <v>0</v>
      </c>
      <c r="H9" s="28">
        <v>0</v>
      </c>
      <c r="I9" s="28">
        <v>0</v>
      </c>
      <c r="J9" s="28">
        <v>90</v>
      </c>
      <c r="K9" s="28">
        <v>0</v>
      </c>
      <c r="L9" s="62">
        <v>0</v>
      </c>
      <c r="M9" s="86">
        <v>90</v>
      </c>
    </row>
    <row r="10" spans="2:13" x14ac:dyDescent="0.2">
      <c r="B10" s="17">
        <v>2006</v>
      </c>
      <c r="C10" s="28">
        <v>0</v>
      </c>
      <c r="D10" s="28">
        <v>0</v>
      </c>
      <c r="E10" s="28">
        <v>2.5</v>
      </c>
      <c r="F10" s="28">
        <v>0</v>
      </c>
      <c r="G10" s="28">
        <v>0</v>
      </c>
      <c r="H10" s="28">
        <v>0</v>
      </c>
      <c r="I10" s="28">
        <v>0</v>
      </c>
      <c r="J10" s="28">
        <v>90</v>
      </c>
      <c r="K10" s="28">
        <v>0</v>
      </c>
      <c r="L10" s="62">
        <v>0</v>
      </c>
      <c r="M10" s="86">
        <v>92.5</v>
      </c>
    </row>
    <row r="11" spans="2:13" x14ac:dyDescent="0.2">
      <c r="B11" s="17">
        <v>2007</v>
      </c>
      <c r="C11" s="28">
        <v>0</v>
      </c>
      <c r="D11" s="28">
        <v>0</v>
      </c>
      <c r="E11" s="28">
        <v>0</v>
      </c>
      <c r="F11" s="28">
        <v>108</v>
      </c>
      <c r="G11" s="28">
        <v>0</v>
      </c>
      <c r="H11" s="28">
        <v>110.4</v>
      </c>
      <c r="I11" s="28">
        <v>0</v>
      </c>
      <c r="J11" s="28">
        <v>90</v>
      </c>
      <c r="K11" s="28">
        <v>0</v>
      </c>
      <c r="L11" s="62">
        <v>0</v>
      </c>
      <c r="M11" s="86">
        <v>308.39999999999998</v>
      </c>
    </row>
    <row r="12" spans="2:13" x14ac:dyDescent="0.2">
      <c r="B12" s="17">
        <v>2008</v>
      </c>
      <c r="C12" s="28">
        <v>0</v>
      </c>
      <c r="D12" s="28">
        <v>0</v>
      </c>
      <c r="E12" s="28">
        <v>0</v>
      </c>
      <c r="F12" s="28">
        <v>120</v>
      </c>
      <c r="G12" s="28">
        <v>0</v>
      </c>
      <c r="H12" s="28">
        <v>0</v>
      </c>
      <c r="I12" s="28">
        <v>0</v>
      </c>
      <c r="J12" s="28">
        <v>0</v>
      </c>
      <c r="K12" s="28">
        <v>0</v>
      </c>
      <c r="L12" s="62">
        <v>0</v>
      </c>
      <c r="M12" s="86">
        <v>120</v>
      </c>
    </row>
    <row r="13" spans="2:13" x14ac:dyDescent="0.2">
      <c r="B13" s="17">
        <v>2009</v>
      </c>
      <c r="C13" s="28">
        <v>2</v>
      </c>
      <c r="D13" s="28">
        <v>21</v>
      </c>
      <c r="E13" s="28">
        <v>0</v>
      </c>
      <c r="F13" s="28">
        <v>0</v>
      </c>
      <c r="G13" s="28">
        <v>0</v>
      </c>
      <c r="H13" s="28">
        <v>42.3</v>
      </c>
      <c r="I13" s="28">
        <v>0</v>
      </c>
      <c r="J13" s="28">
        <v>284.39999999999998</v>
      </c>
      <c r="K13" s="28">
        <v>0</v>
      </c>
      <c r="L13" s="62">
        <v>0</v>
      </c>
      <c r="M13" s="86">
        <v>349.7</v>
      </c>
    </row>
    <row r="14" spans="2:13" x14ac:dyDescent="0.2">
      <c r="B14" s="17">
        <v>2010</v>
      </c>
      <c r="C14" s="28">
        <v>136.5</v>
      </c>
      <c r="D14" s="28">
        <v>416.3</v>
      </c>
      <c r="E14" s="28">
        <v>60</v>
      </c>
      <c r="F14" s="28">
        <v>0</v>
      </c>
      <c r="G14" s="28">
        <v>14</v>
      </c>
      <c r="H14" s="28">
        <v>207.3</v>
      </c>
      <c r="I14" s="28">
        <v>0</v>
      </c>
      <c r="J14" s="28">
        <v>646.79999999999995</v>
      </c>
      <c r="K14" s="28">
        <v>0</v>
      </c>
      <c r="L14" s="62">
        <v>0</v>
      </c>
      <c r="M14" s="86">
        <v>1480.8999999999901</v>
      </c>
    </row>
    <row r="15" spans="2:13" x14ac:dyDescent="0.2">
      <c r="B15" s="17">
        <v>2011</v>
      </c>
      <c r="C15" s="28">
        <v>6.5</v>
      </c>
      <c r="D15" s="28">
        <v>10.8</v>
      </c>
      <c r="E15" s="28">
        <v>48.3</v>
      </c>
      <c r="F15" s="28">
        <v>0</v>
      </c>
      <c r="G15" s="28">
        <v>0</v>
      </c>
      <c r="H15" s="28">
        <v>0</v>
      </c>
      <c r="I15" s="28">
        <v>0</v>
      </c>
      <c r="J15" s="28">
        <v>183.6</v>
      </c>
      <c r="K15" s="28">
        <v>0</v>
      </c>
      <c r="L15" s="62">
        <v>0</v>
      </c>
      <c r="M15" s="86">
        <v>249.2</v>
      </c>
    </row>
    <row r="16" spans="2:13" x14ac:dyDescent="0.2">
      <c r="B16" s="17">
        <v>2012</v>
      </c>
      <c r="C16" s="28">
        <v>154.30000000000001</v>
      </c>
      <c r="D16" s="28">
        <v>0</v>
      </c>
      <c r="E16" s="28">
        <v>0</v>
      </c>
      <c r="F16" s="28">
        <v>0</v>
      </c>
      <c r="G16" s="28">
        <v>0.01</v>
      </c>
      <c r="H16" s="28">
        <v>0</v>
      </c>
      <c r="I16" s="28">
        <v>0</v>
      </c>
      <c r="J16" s="28">
        <v>333.6</v>
      </c>
      <c r="K16" s="28">
        <v>0</v>
      </c>
      <c r="L16" s="62">
        <v>0</v>
      </c>
      <c r="M16" s="86">
        <v>487.91</v>
      </c>
    </row>
    <row r="17" spans="2:13" x14ac:dyDescent="0.2">
      <c r="B17" s="17">
        <v>2013</v>
      </c>
      <c r="C17" s="28">
        <v>56</v>
      </c>
      <c r="D17" s="28">
        <v>399.6</v>
      </c>
      <c r="E17" s="28">
        <v>400</v>
      </c>
      <c r="F17" s="28">
        <v>0</v>
      </c>
      <c r="G17" s="28">
        <v>18.399999999999999</v>
      </c>
      <c r="H17" s="28">
        <v>343.2</v>
      </c>
      <c r="I17" s="28">
        <v>0</v>
      </c>
      <c r="J17" s="28">
        <v>1732.8</v>
      </c>
      <c r="K17" s="28">
        <v>0</v>
      </c>
      <c r="L17" s="62">
        <v>16</v>
      </c>
      <c r="M17" s="86">
        <v>2966</v>
      </c>
    </row>
    <row r="18" spans="2:13" x14ac:dyDescent="0.2">
      <c r="B18" s="17">
        <v>2014</v>
      </c>
      <c r="C18" s="28">
        <v>0</v>
      </c>
      <c r="D18" s="28">
        <v>0</v>
      </c>
      <c r="E18" s="28">
        <v>396</v>
      </c>
      <c r="F18" s="28">
        <v>0</v>
      </c>
      <c r="G18" s="28">
        <v>0</v>
      </c>
      <c r="H18" s="28">
        <v>222</v>
      </c>
      <c r="I18" s="28">
        <v>0</v>
      </c>
      <c r="J18" s="28">
        <v>451.1</v>
      </c>
      <c r="K18" s="28">
        <v>0</v>
      </c>
      <c r="L18" s="62">
        <v>0</v>
      </c>
      <c r="M18" s="86">
        <v>1069.0999999999999</v>
      </c>
    </row>
    <row r="19" spans="2:13" x14ac:dyDescent="0.2">
      <c r="B19" s="17">
        <v>2015</v>
      </c>
      <c r="C19" s="28">
        <v>367.4</v>
      </c>
      <c r="D19" s="28">
        <v>0</v>
      </c>
      <c r="E19" s="28">
        <v>2373.1999999999998</v>
      </c>
      <c r="F19" s="28">
        <v>129</v>
      </c>
      <c r="G19" s="28">
        <v>18</v>
      </c>
      <c r="H19" s="28">
        <v>0.03</v>
      </c>
      <c r="I19" s="28">
        <v>0</v>
      </c>
      <c r="J19" s="28">
        <v>1061.5</v>
      </c>
      <c r="K19" s="28">
        <v>0</v>
      </c>
      <c r="L19" s="62">
        <v>0</v>
      </c>
      <c r="M19" s="86">
        <v>3949.13</v>
      </c>
    </row>
    <row r="20" spans="2:13" x14ac:dyDescent="0.2">
      <c r="B20" s="17">
        <v>2016</v>
      </c>
      <c r="C20" s="28">
        <v>482.8</v>
      </c>
      <c r="D20" s="28">
        <v>0</v>
      </c>
      <c r="E20" s="28">
        <v>582</v>
      </c>
      <c r="F20" s="28">
        <v>144</v>
      </c>
      <c r="G20" s="28">
        <v>2</v>
      </c>
      <c r="H20" s="28">
        <v>0</v>
      </c>
      <c r="I20" s="28">
        <v>0</v>
      </c>
      <c r="J20" s="28">
        <v>0</v>
      </c>
      <c r="K20" s="28">
        <v>30</v>
      </c>
      <c r="L20" s="62">
        <v>83.2</v>
      </c>
      <c r="M20" s="86">
        <v>1324</v>
      </c>
    </row>
    <row r="21" spans="2:13" x14ac:dyDescent="0.2">
      <c r="B21" s="17">
        <v>2017</v>
      </c>
      <c r="C21" s="28">
        <v>704.4</v>
      </c>
      <c r="D21" s="28">
        <v>0</v>
      </c>
      <c r="E21" s="28">
        <v>1132.8</v>
      </c>
      <c r="F21" s="28">
        <v>600</v>
      </c>
      <c r="G21" s="28">
        <v>33</v>
      </c>
      <c r="H21" s="28">
        <v>233.4</v>
      </c>
      <c r="I21" s="28">
        <v>8</v>
      </c>
      <c r="J21" s="28">
        <v>686.2</v>
      </c>
      <c r="K21" s="28">
        <v>0</v>
      </c>
      <c r="L21" s="62">
        <v>0</v>
      </c>
      <c r="M21" s="86">
        <v>3397.8</v>
      </c>
    </row>
    <row r="22" spans="2:13" x14ac:dyDescent="0.2">
      <c r="B22" s="17">
        <v>2018</v>
      </c>
      <c r="C22" s="28">
        <v>1280.8</v>
      </c>
      <c r="D22" s="28">
        <v>28</v>
      </c>
      <c r="E22" s="28">
        <v>800</v>
      </c>
      <c r="F22" s="28">
        <v>0</v>
      </c>
      <c r="G22" s="28">
        <v>0</v>
      </c>
      <c r="H22" s="28">
        <v>361</v>
      </c>
      <c r="I22" s="28">
        <v>0</v>
      </c>
      <c r="J22" s="28">
        <v>2122.1999999999998</v>
      </c>
      <c r="K22" s="28">
        <v>0</v>
      </c>
      <c r="L22" s="62">
        <v>0</v>
      </c>
      <c r="M22" s="86">
        <v>4592</v>
      </c>
    </row>
    <row r="23" spans="2:13" x14ac:dyDescent="0.2">
      <c r="B23" s="17">
        <v>2019</v>
      </c>
      <c r="C23" s="28">
        <v>1607.2</v>
      </c>
      <c r="D23" s="28">
        <v>406.7</v>
      </c>
      <c r="E23" s="28">
        <v>1530</v>
      </c>
      <c r="F23" s="28">
        <v>0</v>
      </c>
      <c r="G23" s="28">
        <v>3</v>
      </c>
      <c r="H23" s="28">
        <v>374.6</v>
      </c>
      <c r="I23" s="28">
        <v>120</v>
      </c>
      <c r="J23" s="28">
        <v>1806</v>
      </c>
      <c r="K23" s="28">
        <v>0</v>
      </c>
      <c r="L23" s="62">
        <v>0</v>
      </c>
      <c r="M23" s="86">
        <v>5847.5</v>
      </c>
    </row>
    <row r="24" spans="2:13" x14ac:dyDescent="0.2">
      <c r="B24" s="17">
        <v>2020</v>
      </c>
      <c r="C24" s="28">
        <v>2981.9</v>
      </c>
      <c r="D24" s="28">
        <v>0</v>
      </c>
      <c r="E24" s="28">
        <v>315</v>
      </c>
      <c r="F24" s="28">
        <v>1483.5</v>
      </c>
      <c r="G24" s="28">
        <v>60.75</v>
      </c>
      <c r="H24" s="28">
        <v>731</v>
      </c>
      <c r="I24" s="28">
        <v>0</v>
      </c>
      <c r="J24" s="28">
        <v>714</v>
      </c>
      <c r="K24" s="28">
        <v>12</v>
      </c>
      <c r="L24" s="62">
        <v>0</v>
      </c>
      <c r="M24" s="86">
        <v>6298.15</v>
      </c>
    </row>
    <row r="25" spans="2:13" x14ac:dyDescent="0.2">
      <c r="B25" s="81">
        <v>2021</v>
      </c>
      <c r="C25" s="62">
        <v>13789.85</v>
      </c>
      <c r="D25" s="62">
        <v>605</v>
      </c>
      <c r="E25" s="62">
        <v>0</v>
      </c>
      <c r="F25" s="62">
        <v>401.7</v>
      </c>
      <c r="G25" s="62">
        <v>0</v>
      </c>
      <c r="H25" s="62">
        <v>3.6</v>
      </c>
      <c r="I25" s="62">
        <v>109.2</v>
      </c>
      <c r="J25" s="62">
        <v>1855</v>
      </c>
      <c r="K25" s="62">
        <v>0</v>
      </c>
      <c r="L25" s="62">
        <v>634.29999999999995</v>
      </c>
      <c r="M25" s="86">
        <v>17398.650000000001</v>
      </c>
    </row>
    <row r="26" spans="2:13" x14ac:dyDescent="0.2">
      <c r="B26" s="83" t="s">
        <v>80</v>
      </c>
      <c r="C26" s="26">
        <v>21569.65</v>
      </c>
      <c r="D26" s="26">
        <v>2308.8000000000002</v>
      </c>
      <c r="E26" s="26">
        <v>7644.3</v>
      </c>
      <c r="F26" s="26">
        <v>3003</v>
      </c>
      <c r="G26" s="26">
        <v>160.47999999999999</v>
      </c>
      <c r="H26" s="26">
        <v>2657.33</v>
      </c>
      <c r="I26" s="26">
        <v>237.2</v>
      </c>
      <c r="J26" s="26">
        <v>12267.2</v>
      </c>
      <c r="K26" s="26">
        <v>42</v>
      </c>
      <c r="L26" s="84">
        <v>733.5</v>
      </c>
      <c r="M26" s="85">
        <v>50623.46</v>
      </c>
    </row>
    <row r="28" spans="2:13" x14ac:dyDescent="0.2">
      <c r="E28" s="5"/>
      <c r="H28" s="5"/>
    </row>
  </sheetData>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16"/>
  <sheetViews>
    <sheetView workbookViewId="0">
      <selection activeCell="B2" sqref="B2"/>
    </sheetView>
  </sheetViews>
  <sheetFormatPr baseColWidth="10" defaultColWidth="11" defaultRowHeight="16" x14ac:dyDescent="0.2"/>
  <cols>
    <col min="2" max="2" width="17.33203125" customWidth="1"/>
    <col min="3" max="3" width="15.5" bestFit="1" customWidth="1"/>
    <col min="4" max="4" width="19.1640625" customWidth="1"/>
  </cols>
  <sheetData>
    <row r="1" spans="2:4" ht="24" x14ac:dyDescent="0.3">
      <c r="B1" s="8" t="s">
        <v>690</v>
      </c>
    </row>
    <row r="3" spans="2:4" x14ac:dyDescent="0.2">
      <c r="B3" s="6" t="s">
        <v>18</v>
      </c>
      <c r="C3" s="6" t="s">
        <v>21</v>
      </c>
      <c r="D3" s="6" t="s">
        <v>16</v>
      </c>
    </row>
    <row r="4" spans="2:4" x14ac:dyDescent="0.2">
      <c r="B4" s="6" t="s">
        <v>4</v>
      </c>
      <c r="C4" s="6">
        <v>2261.8000000000002</v>
      </c>
      <c r="D4" s="6">
        <v>0</v>
      </c>
    </row>
    <row r="5" spans="2:4" x14ac:dyDescent="0.2">
      <c r="B5" s="6" t="s">
        <v>5</v>
      </c>
      <c r="C5" s="6">
        <v>21569.65</v>
      </c>
      <c r="D5" s="6">
        <v>6802.05</v>
      </c>
    </row>
    <row r="6" spans="2:4" x14ac:dyDescent="0.2">
      <c r="B6" s="6" t="s">
        <v>6</v>
      </c>
      <c r="C6" s="6">
        <v>2308.8000000000002</v>
      </c>
      <c r="D6" s="6">
        <v>344</v>
      </c>
    </row>
    <row r="7" spans="2:4" x14ac:dyDescent="0.2">
      <c r="B7" s="6" t="s">
        <v>45</v>
      </c>
      <c r="C7" s="6">
        <v>0</v>
      </c>
      <c r="D7" s="6">
        <v>1959</v>
      </c>
    </row>
    <row r="8" spans="2:4" x14ac:dyDescent="0.2">
      <c r="B8" s="6" t="s">
        <v>7</v>
      </c>
      <c r="C8" s="6">
        <v>7644.3</v>
      </c>
      <c r="D8" s="6">
        <v>2226.75</v>
      </c>
    </row>
    <row r="9" spans="2:4" x14ac:dyDescent="0.2">
      <c r="B9" s="6" t="s">
        <v>47</v>
      </c>
      <c r="C9" s="6">
        <v>0</v>
      </c>
      <c r="D9" s="6">
        <v>138.6</v>
      </c>
    </row>
    <row r="10" spans="2:4" x14ac:dyDescent="0.2">
      <c r="B10" s="6" t="s">
        <v>8</v>
      </c>
      <c r="C10" s="6">
        <v>3003</v>
      </c>
      <c r="D10" s="6">
        <v>2299</v>
      </c>
    </row>
    <row r="11" spans="2:4" x14ac:dyDescent="0.2">
      <c r="B11" s="6" t="s">
        <v>17</v>
      </c>
      <c r="C11" s="6">
        <v>1526.71</v>
      </c>
      <c r="D11" s="6">
        <v>128.22999999999999</v>
      </c>
    </row>
    <row r="12" spans="2:4" x14ac:dyDescent="0.2">
      <c r="B12" s="6" t="s">
        <v>48</v>
      </c>
      <c r="C12" s="6">
        <v>0</v>
      </c>
      <c r="D12" s="6">
        <v>2506.6999999999998</v>
      </c>
    </row>
    <row r="13" spans="2:4" x14ac:dyDescent="0.2">
      <c r="B13" s="6" t="s">
        <v>11</v>
      </c>
      <c r="C13" s="6">
        <v>12267.2</v>
      </c>
      <c r="D13" s="6">
        <v>6844</v>
      </c>
    </row>
    <row r="14" spans="2:4" x14ac:dyDescent="0.2">
      <c r="B14" s="6" t="s">
        <v>12</v>
      </c>
      <c r="C14" s="6">
        <v>42</v>
      </c>
      <c r="D14" s="6">
        <v>932</v>
      </c>
    </row>
    <row r="15" spans="2:4" x14ac:dyDescent="0.2">
      <c r="B15" s="6" t="s">
        <v>15</v>
      </c>
      <c r="C15" s="6">
        <v>0</v>
      </c>
      <c r="D15" s="6">
        <v>1222.5</v>
      </c>
    </row>
    <row r="16" spans="2:4" x14ac:dyDescent="0.2">
      <c r="B16" s="87" t="s">
        <v>80</v>
      </c>
      <c r="C16" s="87">
        <v>50623.46</v>
      </c>
      <c r="D16" s="87">
        <v>25402.83</v>
      </c>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36"/>
  <sheetViews>
    <sheetView zoomScaleNormal="100" workbookViewId="0">
      <selection activeCell="B2" sqref="B2"/>
    </sheetView>
  </sheetViews>
  <sheetFormatPr baseColWidth="10" defaultColWidth="11" defaultRowHeight="16" x14ac:dyDescent="0.2"/>
  <cols>
    <col min="2" max="2" width="26.5" customWidth="1"/>
    <col min="3" max="8" width="15.5" customWidth="1"/>
    <col min="9" max="9" width="16.33203125" customWidth="1"/>
    <col min="10" max="13" width="15.5" customWidth="1"/>
    <col min="14" max="14" width="16.83203125" customWidth="1"/>
    <col min="15" max="16" width="15.5" customWidth="1"/>
  </cols>
  <sheetData>
    <row r="1" spans="2:17" ht="24" x14ac:dyDescent="0.3">
      <c r="B1" s="8" t="s">
        <v>820</v>
      </c>
    </row>
    <row r="2" spans="2:17" x14ac:dyDescent="0.2">
      <c r="B2" t="s">
        <v>121</v>
      </c>
    </row>
    <row r="3" spans="2:17" x14ac:dyDescent="0.2">
      <c r="B3" t="s">
        <v>3</v>
      </c>
      <c r="C3" t="s">
        <v>4</v>
      </c>
      <c r="D3" t="s">
        <v>5</v>
      </c>
      <c r="E3" t="s">
        <v>6</v>
      </c>
      <c r="F3" t="s">
        <v>7</v>
      </c>
      <c r="G3" t="s">
        <v>8</v>
      </c>
      <c r="H3" t="s">
        <v>224</v>
      </c>
      <c r="I3" t="s">
        <v>101</v>
      </c>
      <c r="J3" t="s">
        <v>9</v>
      </c>
      <c r="K3" t="s">
        <v>10</v>
      </c>
      <c r="L3" t="s">
        <v>46</v>
      </c>
      <c r="M3" t="s">
        <v>48</v>
      </c>
      <c r="N3" t="s">
        <v>11</v>
      </c>
      <c r="O3" t="s">
        <v>12</v>
      </c>
      <c r="P3" t="s">
        <v>15</v>
      </c>
      <c r="Q3" t="s">
        <v>80</v>
      </c>
    </row>
    <row r="4" spans="2:17" x14ac:dyDescent="0.2">
      <c r="B4">
        <v>1995</v>
      </c>
      <c r="C4">
        <v>0</v>
      </c>
      <c r="D4">
        <v>0</v>
      </c>
      <c r="E4">
        <v>5</v>
      </c>
      <c r="F4">
        <v>0</v>
      </c>
      <c r="G4">
        <v>0</v>
      </c>
      <c r="H4">
        <v>0</v>
      </c>
      <c r="I4">
        <v>0</v>
      </c>
      <c r="J4">
        <v>0</v>
      </c>
      <c r="K4">
        <v>0</v>
      </c>
      <c r="L4">
        <v>0</v>
      </c>
      <c r="M4">
        <v>0</v>
      </c>
      <c r="N4">
        <v>0</v>
      </c>
      <c r="O4">
        <v>0</v>
      </c>
      <c r="P4">
        <v>0</v>
      </c>
      <c r="Q4">
        <v>5</v>
      </c>
    </row>
    <row r="5" spans="2:17" x14ac:dyDescent="0.2">
      <c r="B5">
        <v>1996</v>
      </c>
      <c r="C5">
        <v>0</v>
      </c>
      <c r="D5">
        <v>0</v>
      </c>
      <c r="E5">
        <v>5</v>
      </c>
      <c r="F5">
        <v>0</v>
      </c>
      <c r="G5">
        <v>16.8</v>
      </c>
      <c r="H5">
        <v>0</v>
      </c>
      <c r="I5">
        <v>0</v>
      </c>
      <c r="J5">
        <v>0</v>
      </c>
      <c r="K5">
        <v>0</v>
      </c>
      <c r="L5">
        <v>0</v>
      </c>
      <c r="M5">
        <v>0</v>
      </c>
      <c r="N5">
        <v>0</v>
      </c>
      <c r="O5">
        <v>0</v>
      </c>
      <c r="P5">
        <v>0</v>
      </c>
      <c r="Q5">
        <v>21.8</v>
      </c>
    </row>
    <row r="6" spans="2:17" x14ac:dyDescent="0.2">
      <c r="B6">
        <v>1997</v>
      </c>
      <c r="C6">
        <v>0</v>
      </c>
      <c r="D6">
        <v>0</v>
      </c>
      <c r="E6">
        <v>5</v>
      </c>
      <c r="F6">
        <v>0</v>
      </c>
      <c r="G6">
        <v>16.8</v>
      </c>
      <c r="H6">
        <v>0</v>
      </c>
      <c r="I6">
        <v>0</v>
      </c>
      <c r="J6">
        <v>0</v>
      </c>
      <c r="K6">
        <v>0</v>
      </c>
      <c r="L6">
        <v>0</v>
      </c>
      <c r="M6">
        <v>0</v>
      </c>
      <c r="N6">
        <v>0</v>
      </c>
      <c r="O6">
        <v>0</v>
      </c>
      <c r="P6">
        <v>0</v>
      </c>
      <c r="Q6">
        <v>21.8</v>
      </c>
    </row>
    <row r="7" spans="2:17" x14ac:dyDescent="0.2">
      <c r="B7">
        <v>1998</v>
      </c>
      <c r="C7">
        <v>0</v>
      </c>
      <c r="D7">
        <v>0</v>
      </c>
      <c r="E7">
        <v>5</v>
      </c>
      <c r="F7">
        <v>0</v>
      </c>
      <c r="G7">
        <v>16.8</v>
      </c>
      <c r="H7">
        <v>0</v>
      </c>
      <c r="I7">
        <v>0</v>
      </c>
      <c r="J7">
        <v>0</v>
      </c>
      <c r="K7">
        <v>3.3</v>
      </c>
      <c r="L7">
        <v>0</v>
      </c>
      <c r="M7">
        <v>0</v>
      </c>
      <c r="N7">
        <v>0</v>
      </c>
      <c r="O7">
        <v>0</v>
      </c>
      <c r="P7">
        <v>0</v>
      </c>
      <c r="Q7">
        <v>25.1</v>
      </c>
    </row>
    <row r="8" spans="2:17" x14ac:dyDescent="0.2">
      <c r="B8">
        <v>1999</v>
      </c>
      <c r="C8">
        <v>0</v>
      </c>
      <c r="D8">
        <v>0</v>
      </c>
      <c r="E8">
        <v>5</v>
      </c>
      <c r="F8">
        <v>0</v>
      </c>
      <c r="G8">
        <v>16.8</v>
      </c>
      <c r="H8">
        <v>0</v>
      </c>
      <c r="I8">
        <v>0</v>
      </c>
      <c r="J8">
        <v>0</v>
      </c>
      <c r="K8">
        <v>3.3</v>
      </c>
      <c r="L8">
        <v>0</v>
      </c>
      <c r="M8">
        <v>0</v>
      </c>
      <c r="N8">
        <v>0</v>
      </c>
      <c r="O8">
        <v>0</v>
      </c>
      <c r="P8">
        <v>0</v>
      </c>
      <c r="Q8">
        <v>25.1</v>
      </c>
    </row>
    <row r="9" spans="2:17" x14ac:dyDescent="0.2">
      <c r="B9">
        <v>2000</v>
      </c>
      <c r="C9">
        <v>0</v>
      </c>
      <c r="D9">
        <v>0</v>
      </c>
      <c r="E9">
        <v>5</v>
      </c>
      <c r="F9">
        <v>0</v>
      </c>
      <c r="G9">
        <v>16.8</v>
      </c>
      <c r="H9">
        <v>0</v>
      </c>
      <c r="I9">
        <v>0</v>
      </c>
      <c r="J9">
        <v>0</v>
      </c>
      <c r="K9">
        <v>3.3</v>
      </c>
      <c r="L9">
        <v>0</v>
      </c>
      <c r="M9">
        <v>0</v>
      </c>
      <c r="N9">
        <v>0</v>
      </c>
      <c r="O9">
        <v>0</v>
      </c>
      <c r="P9">
        <v>0</v>
      </c>
      <c r="Q9">
        <v>25.1</v>
      </c>
    </row>
    <row r="10" spans="2:17" x14ac:dyDescent="0.2">
      <c r="B10">
        <v>2001</v>
      </c>
      <c r="C10">
        <v>0</v>
      </c>
      <c r="D10">
        <v>0</v>
      </c>
      <c r="E10">
        <v>45</v>
      </c>
      <c r="F10">
        <v>0</v>
      </c>
      <c r="G10">
        <v>16.8</v>
      </c>
      <c r="H10">
        <v>0</v>
      </c>
      <c r="I10">
        <v>0</v>
      </c>
      <c r="J10">
        <v>0</v>
      </c>
      <c r="K10">
        <v>3.3</v>
      </c>
      <c r="L10">
        <v>0</v>
      </c>
      <c r="M10">
        <v>0</v>
      </c>
      <c r="N10">
        <v>0</v>
      </c>
      <c r="O10">
        <v>0</v>
      </c>
      <c r="P10">
        <v>0</v>
      </c>
      <c r="Q10">
        <v>65.099999999999994</v>
      </c>
    </row>
    <row r="11" spans="2:17" x14ac:dyDescent="0.2">
      <c r="B11">
        <v>2002</v>
      </c>
      <c r="C11">
        <v>0</v>
      </c>
      <c r="D11">
        <v>0</v>
      </c>
      <c r="E11">
        <v>205</v>
      </c>
      <c r="F11">
        <v>0</v>
      </c>
      <c r="G11">
        <v>16.8</v>
      </c>
      <c r="H11">
        <v>0</v>
      </c>
      <c r="I11">
        <v>0</v>
      </c>
      <c r="J11">
        <v>0</v>
      </c>
      <c r="K11">
        <v>3.3</v>
      </c>
      <c r="L11">
        <v>0</v>
      </c>
      <c r="M11">
        <v>0</v>
      </c>
      <c r="N11">
        <v>0</v>
      </c>
      <c r="O11">
        <v>0</v>
      </c>
      <c r="P11">
        <v>0</v>
      </c>
      <c r="Q11">
        <v>225.1</v>
      </c>
    </row>
    <row r="12" spans="2:17" x14ac:dyDescent="0.2">
      <c r="B12">
        <v>2003</v>
      </c>
      <c r="C12">
        <v>0</v>
      </c>
      <c r="D12">
        <v>0</v>
      </c>
      <c r="E12">
        <v>421.4</v>
      </c>
      <c r="F12">
        <v>0</v>
      </c>
      <c r="G12">
        <v>16.8</v>
      </c>
      <c r="H12">
        <v>0</v>
      </c>
      <c r="I12">
        <v>0</v>
      </c>
      <c r="J12">
        <v>0</v>
      </c>
      <c r="K12">
        <v>3.3</v>
      </c>
      <c r="L12">
        <v>0</v>
      </c>
      <c r="M12">
        <v>0</v>
      </c>
      <c r="N12">
        <v>0</v>
      </c>
      <c r="O12">
        <v>0</v>
      </c>
      <c r="P12">
        <v>0</v>
      </c>
      <c r="Q12">
        <v>441.5</v>
      </c>
    </row>
    <row r="13" spans="2:17" x14ac:dyDescent="0.2">
      <c r="B13">
        <v>2004</v>
      </c>
      <c r="C13">
        <v>0</v>
      </c>
      <c r="D13">
        <v>0</v>
      </c>
      <c r="E13">
        <v>421.4</v>
      </c>
      <c r="F13">
        <v>4.5</v>
      </c>
      <c r="G13">
        <v>16.8</v>
      </c>
      <c r="H13">
        <v>0</v>
      </c>
      <c r="I13">
        <v>0</v>
      </c>
      <c r="J13">
        <v>11.32</v>
      </c>
      <c r="K13">
        <v>28.5</v>
      </c>
      <c r="L13">
        <v>0</v>
      </c>
      <c r="M13">
        <v>0</v>
      </c>
      <c r="N13">
        <v>120</v>
      </c>
      <c r="O13">
        <v>0</v>
      </c>
      <c r="P13">
        <v>0</v>
      </c>
      <c r="Q13">
        <v>602.52</v>
      </c>
    </row>
    <row r="14" spans="2:17" x14ac:dyDescent="0.2">
      <c r="B14">
        <v>2005</v>
      </c>
      <c r="C14">
        <v>0</v>
      </c>
      <c r="D14">
        <v>0</v>
      </c>
      <c r="E14">
        <v>421.4</v>
      </c>
      <c r="F14">
        <v>4.5</v>
      </c>
      <c r="G14">
        <v>16.8</v>
      </c>
      <c r="H14">
        <v>0</v>
      </c>
      <c r="I14">
        <v>0</v>
      </c>
      <c r="J14">
        <v>11.32</v>
      </c>
      <c r="K14">
        <v>28.5</v>
      </c>
      <c r="L14">
        <v>0</v>
      </c>
      <c r="M14">
        <v>0</v>
      </c>
      <c r="N14">
        <v>210</v>
      </c>
      <c r="O14">
        <v>0</v>
      </c>
      <c r="P14">
        <v>0</v>
      </c>
      <c r="Q14">
        <v>692.52</v>
      </c>
    </row>
    <row r="15" spans="2:17" x14ac:dyDescent="0.2">
      <c r="B15">
        <v>2006</v>
      </c>
      <c r="C15">
        <v>0</v>
      </c>
      <c r="D15">
        <v>0</v>
      </c>
      <c r="E15">
        <v>421.4</v>
      </c>
      <c r="F15">
        <v>7</v>
      </c>
      <c r="G15">
        <v>16.8</v>
      </c>
      <c r="H15">
        <v>0</v>
      </c>
      <c r="I15">
        <v>0</v>
      </c>
      <c r="J15">
        <v>11.32</v>
      </c>
      <c r="K15">
        <v>28.5</v>
      </c>
      <c r="L15">
        <v>0</v>
      </c>
      <c r="M15">
        <v>0</v>
      </c>
      <c r="N15">
        <v>300</v>
      </c>
      <c r="O15">
        <v>0</v>
      </c>
      <c r="P15">
        <v>0</v>
      </c>
      <c r="Q15">
        <v>785.02</v>
      </c>
    </row>
    <row r="16" spans="2:17" x14ac:dyDescent="0.2">
      <c r="B16">
        <v>2007</v>
      </c>
      <c r="C16">
        <v>0</v>
      </c>
      <c r="D16">
        <v>0</v>
      </c>
      <c r="E16">
        <v>421.4</v>
      </c>
      <c r="F16">
        <v>7</v>
      </c>
      <c r="G16">
        <v>124.8</v>
      </c>
      <c r="H16">
        <v>0</v>
      </c>
      <c r="I16">
        <v>0</v>
      </c>
      <c r="J16">
        <v>11.32</v>
      </c>
      <c r="K16">
        <v>138.9</v>
      </c>
      <c r="L16">
        <v>0</v>
      </c>
      <c r="M16">
        <v>0</v>
      </c>
      <c r="N16">
        <v>390</v>
      </c>
      <c r="O16">
        <v>0</v>
      </c>
      <c r="P16">
        <v>0</v>
      </c>
      <c r="Q16">
        <v>1093.42</v>
      </c>
    </row>
    <row r="17" spans="2:17" x14ac:dyDescent="0.2">
      <c r="B17">
        <v>2008</v>
      </c>
      <c r="C17">
        <v>0</v>
      </c>
      <c r="D17">
        <v>0</v>
      </c>
      <c r="E17">
        <v>421.4</v>
      </c>
      <c r="F17">
        <v>7</v>
      </c>
      <c r="G17">
        <v>244.8</v>
      </c>
      <c r="H17">
        <v>0</v>
      </c>
      <c r="I17">
        <v>0</v>
      </c>
      <c r="J17">
        <v>11.32</v>
      </c>
      <c r="K17">
        <v>138.9</v>
      </c>
      <c r="L17">
        <v>0</v>
      </c>
      <c r="M17">
        <v>0</v>
      </c>
      <c r="N17">
        <v>390</v>
      </c>
      <c r="O17">
        <v>0</v>
      </c>
      <c r="P17">
        <v>0</v>
      </c>
      <c r="Q17">
        <v>1213.42</v>
      </c>
    </row>
    <row r="18" spans="2:17" x14ac:dyDescent="0.2">
      <c r="B18">
        <v>2009</v>
      </c>
      <c r="C18">
        <v>30</v>
      </c>
      <c r="D18">
        <v>2</v>
      </c>
      <c r="E18">
        <v>442.4</v>
      </c>
      <c r="F18">
        <v>7</v>
      </c>
      <c r="G18">
        <v>244.8</v>
      </c>
      <c r="H18">
        <v>0</v>
      </c>
      <c r="I18">
        <v>0</v>
      </c>
      <c r="J18">
        <v>11.32</v>
      </c>
      <c r="K18">
        <v>151.19999999999999</v>
      </c>
      <c r="L18">
        <v>0</v>
      </c>
      <c r="M18">
        <v>0</v>
      </c>
      <c r="N18">
        <v>674.4</v>
      </c>
      <c r="O18">
        <v>0</v>
      </c>
      <c r="P18">
        <v>0</v>
      </c>
      <c r="Q18">
        <v>1563.12</v>
      </c>
    </row>
    <row r="19" spans="2:17" x14ac:dyDescent="0.2">
      <c r="B19">
        <v>2010</v>
      </c>
      <c r="C19">
        <v>195</v>
      </c>
      <c r="D19">
        <v>138.5</v>
      </c>
      <c r="E19">
        <v>858.7</v>
      </c>
      <c r="F19">
        <v>67</v>
      </c>
      <c r="G19">
        <v>244.8</v>
      </c>
      <c r="H19">
        <v>0</v>
      </c>
      <c r="I19">
        <v>0</v>
      </c>
      <c r="J19">
        <v>25.32</v>
      </c>
      <c r="K19">
        <v>193.5</v>
      </c>
      <c r="L19">
        <v>0</v>
      </c>
      <c r="M19">
        <v>0</v>
      </c>
      <c r="N19">
        <v>1321.19999999999</v>
      </c>
      <c r="O19">
        <v>0</v>
      </c>
      <c r="P19">
        <v>0</v>
      </c>
      <c r="Q19">
        <v>3044.01999999999</v>
      </c>
    </row>
    <row r="20" spans="2:17" x14ac:dyDescent="0.2">
      <c r="B20">
        <v>2011</v>
      </c>
      <c r="C20">
        <v>195</v>
      </c>
      <c r="D20">
        <v>145</v>
      </c>
      <c r="E20">
        <v>869.5</v>
      </c>
      <c r="F20">
        <v>115.3</v>
      </c>
      <c r="G20">
        <v>244.8</v>
      </c>
      <c r="H20">
        <v>0</v>
      </c>
      <c r="I20">
        <v>0</v>
      </c>
      <c r="J20">
        <v>25.32</v>
      </c>
      <c r="K20">
        <v>193.5</v>
      </c>
      <c r="L20">
        <v>0</v>
      </c>
      <c r="M20">
        <v>0</v>
      </c>
      <c r="N20">
        <v>1504.79999999999</v>
      </c>
      <c r="O20">
        <v>0</v>
      </c>
      <c r="P20">
        <v>0</v>
      </c>
      <c r="Q20">
        <v>3293.2199999999898</v>
      </c>
    </row>
    <row r="21" spans="2:17" x14ac:dyDescent="0.2">
      <c r="B21">
        <v>2012</v>
      </c>
      <c r="C21">
        <v>195</v>
      </c>
      <c r="D21">
        <v>299.3</v>
      </c>
      <c r="E21">
        <v>869.5</v>
      </c>
      <c r="F21">
        <v>115.3</v>
      </c>
      <c r="G21">
        <v>244.8</v>
      </c>
      <c r="H21">
        <v>0</v>
      </c>
      <c r="I21">
        <v>0</v>
      </c>
      <c r="J21">
        <v>25.33</v>
      </c>
      <c r="K21">
        <v>193.5</v>
      </c>
      <c r="L21">
        <v>0</v>
      </c>
      <c r="M21">
        <v>0</v>
      </c>
      <c r="N21">
        <v>1838.3999999999901</v>
      </c>
      <c r="O21">
        <v>0</v>
      </c>
      <c r="P21">
        <v>0</v>
      </c>
      <c r="Q21">
        <v>3781.1299999999901</v>
      </c>
    </row>
    <row r="22" spans="2:17" x14ac:dyDescent="0.2">
      <c r="B22">
        <v>2013</v>
      </c>
      <c r="C22">
        <v>490.2</v>
      </c>
      <c r="D22">
        <v>355.3</v>
      </c>
      <c r="E22">
        <v>1269.0999999999999</v>
      </c>
      <c r="F22">
        <v>515.29999999999995</v>
      </c>
      <c r="G22">
        <v>244.8</v>
      </c>
      <c r="H22">
        <v>0</v>
      </c>
      <c r="I22">
        <v>0</v>
      </c>
      <c r="J22">
        <v>43.73</v>
      </c>
      <c r="K22">
        <v>241.5</v>
      </c>
      <c r="L22">
        <v>0</v>
      </c>
      <c r="M22">
        <v>0</v>
      </c>
      <c r="N22">
        <v>3571.2</v>
      </c>
      <c r="O22">
        <v>0</v>
      </c>
      <c r="P22">
        <v>16</v>
      </c>
      <c r="Q22">
        <v>6747.1299999999901</v>
      </c>
    </row>
    <row r="23" spans="2:17" x14ac:dyDescent="0.2">
      <c r="B23">
        <v>2014</v>
      </c>
      <c r="C23">
        <v>712.2</v>
      </c>
      <c r="D23">
        <v>355.3</v>
      </c>
      <c r="E23">
        <v>1269.0999999999999</v>
      </c>
      <c r="F23">
        <v>911.3</v>
      </c>
      <c r="G23">
        <v>244.8</v>
      </c>
      <c r="H23">
        <v>0</v>
      </c>
      <c r="I23">
        <v>0</v>
      </c>
      <c r="J23">
        <v>43.73</v>
      </c>
      <c r="K23">
        <v>241.5</v>
      </c>
      <c r="L23">
        <v>0</v>
      </c>
      <c r="M23">
        <v>0</v>
      </c>
      <c r="N23">
        <v>4022.2999999999902</v>
      </c>
      <c r="O23">
        <v>0</v>
      </c>
      <c r="P23">
        <v>16</v>
      </c>
      <c r="Q23">
        <v>7816.23</v>
      </c>
    </row>
    <row r="24" spans="2:17" x14ac:dyDescent="0.2">
      <c r="B24">
        <v>2015</v>
      </c>
      <c r="C24">
        <v>712.2</v>
      </c>
      <c r="D24">
        <v>722.7</v>
      </c>
      <c r="E24">
        <v>1269.0999999999999</v>
      </c>
      <c r="F24">
        <v>3284.5</v>
      </c>
      <c r="G24">
        <v>373.8</v>
      </c>
      <c r="H24">
        <v>0</v>
      </c>
      <c r="I24">
        <v>0</v>
      </c>
      <c r="J24">
        <v>61.73</v>
      </c>
      <c r="K24">
        <v>241.53</v>
      </c>
      <c r="L24">
        <v>0</v>
      </c>
      <c r="M24">
        <v>0</v>
      </c>
      <c r="N24">
        <v>5083.7999999999902</v>
      </c>
      <c r="O24">
        <v>0</v>
      </c>
      <c r="P24">
        <v>16</v>
      </c>
      <c r="Q24">
        <v>11765.359999999901</v>
      </c>
    </row>
    <row r="25" spans="2:17" x14ac:dyDescent="0.2">
      <c r="B25">
        <v>2016</v>
      </c>
      <c r="C25">
        <v>712.2</v>
      </c>
      <c r="D25">
        <v>1205.5</v>
      </c>
      <c r="E25">
        <v>1269.0999999999999</v>
      </c>
      <c r="F25">
        <v>3866.5</v>
      </c>
      <c r="G25">
        <v>517.79999999999995</v>
      </c>
      <c r="H25">
        <v>0</v>
      </c>
      <c r="I25">
        <v>0</v>
      </c>
      <c r="J25">
        <v>63.73</v>
      </c>
      <c r="K25">
        <v>241.53</v>
      </c>
      <c r="L25">
        <v>0</v>
      </c>
      <c r="M25">
        <v>0</v>
      </c>
      <c r="N25">
        <v>5083.7999999999902</v>
      </c>
      <c r="O25">
        <v>30</v>
      </c>
      <c r="P25">
        <v>99.2</v>
      </c>
      <c r="Q25">
        <v>13089.36</v>
      </c>
    </row>
    <row r="26" spans="2:17" x14ac:dyDescent="0.2">
      <c r="B26">
        <v>2017</v>
      </c>
      <c r="C26">
        <v>877.2</v>
      </c>
      <c r="D26">
        <v>1909.9</v>
      </c>
      <c r="E26">
        <v>1269.0999999999999</v>
      </c>
      <c r="F26">
        <v>4999.3</v>
      </c>
      <c r="G26">
        <v>1117.8</v>
      </c>
      <c r="H26">
        <v>0</v>
      </c>
      <c r="I26">
        <v>0</v>
      </c>
      <c r="J26">
        <v>63.73</v>
      </c>
      <c r="K26">
        <v>309.93</v>
      </c>
      <c r="L26">
        <v>33</v>
      </c>
      <c r="M26">
        <v>8</v>
      </c>
      <c r="N26">
        <v>5769.99999999999</v>
      </c>
      <c r="O26">
        <v>30</v>
      </c>
      <c r="P26">
        <v>99.2</v>
      </c>
      <c r="Q26">
        <v>16487.16</v>
      </c>
    </row>
    <row r="27" spans="2:17" x14ac:dyDescent="0.2">
      <c r="B27">
        <v>2018</v>
      </c>
      <c r="C27">
        <v>1186.2</v>
      </c>
      <c r="D27">
        <v>3190.7</v>
      </c>
      <c r="E27">
        <v>1297.0999999999999</v>
      </c>
      <c r="F27">
        <v>5799.3</v>
      </c>
      <c r="G27">
        <v>1117.8</v>
      </c>
      <c r="H27">
        <v>0</v>
      </c>
      <c r="I27">
        <v>0</v>
      </c>
      <c r="J27">
        <v>63.73</v>
      </c>
      <c r="K27">
        <v>361.93</v>
      </c>
      <c r="L27">
        <v>33</v>
      </c>
      <c r="M27">
        <v>8</v>
      </c>
      <c r="N27">
        <v>7892.1999999999898</v>
      </c>
      <c r="O27">
        <v>30</v>
      </c>
      <c r="P27">
        <v>99.2</v>
      </c>
      <c r="Q27">
        <v>21079.16</v>
      </c>
    </row>
    <row r="28" spans="2:17" x14ac:dyDescent="0.2">
      <c r="B28">
        <v>2019</v>
      </c>
      <c r="C28">
        <v>1555.8</v>
      </c>
      <c r="D28">
        <v>4797.8999999999996</v>
      </c>
      <c r="E28">
        <v>1703.8</v>
      </c>
      <c r="F28">
        <v>7329.3</v>
      </c>
      <c r="G28">
        <v>1117.8</v>
      </c>
      <c r="H28">
        <v>0</v>
      </c>
      <c r="I28">
        <v>0</v>
      </c>
      <c r="J28">
        <v>66.73</v>
      </c>
      <c r="K28">
        <v>366.93</v>
      </c>
      <c r="L28">
        <v>33</v>
      </c>
      <c r="M28">
        <v>128</v>
      </c>
      <c r="N28">
        <v>9698.1999999999898</v>
      </c>
      <c r="O28">
        <v>30</v>
      </c>
      <c r="P28">
        <v>99.2</v>
      </c>
      <c r="Q28">
        <v>26926.66</v>
      </c>
    </row>
    <row r="29" spans="2:17" x14ac:dyDescent="0.2">
      <c r="B29">
        <v>2020</v>
      </c>
      <c r="C29">
        <v>2261.8000000000002</v>
      </c>
      <c r="D29">
        <v>7779.7999999999902</v>
      </c>
      <c r="E29">
        <v>1703.8</v>
      </c>
      <c r="F29">
        <v>7644.3</v>
      </c>
      <c r="G29">
        <v>2601.3000000000002</v>
      </c>
      <c r="H29">
        <v>0</v>
      </c>
      <c r="I29">
        <v>0</v>
      </c>
      <c r="J29">
        <v>66.73</v>
      </c>
      <c r="K29">
        <v>391.93</v>
      </c>
      <c r="L29">
        <v>93.75</v>
      </c>
      <c r="M29">
        <v>128</v>
      </c>
      <c r="N29">
        <v>10412.199999999901</v>
      </c>
      <c r="O29">
        <v>42</v>
      </c>
      <c r="P29">
        <v>99.2</v>
      </c>
      <c r="Q29">
        <v>33224.809999999903</v>
      </c>
    </row>
    <row r="30" spans="2:17" x14ac:dyDescent="0.2">
      <c r="B30">
        <v>2021</v>
      </c>
      <c r="C30">
        <v>2261.8000000000002</v>
      </c>
      <c r="D30">
        <v>21569.65</v>
      </c>
      <c r="E30">
        <v>2308.8000000000002</v>
      </c>
      <c r="F30">
        <v>7644.3</v>
      </c>
      <c r="G30">
        <v>3003</v>
      </c>
      <c r="H30">
        <v>0</v>
      </c>
      <c r="I30">
        <v>0</v>
      </c>
      <c r="J30">
        <v>66.73</v>
      </c>
      <c r="K30">
        <v>395.53</v>
      </c>
      <c r="L30">
        <v>93.75</v>
      </c>
      <c r="M30">
        <v>237.2</v>
      </c>
      <c r="N30">
        <v>12267.199999999901</v>
      </c>
      <c r="O30">
        <v>42</v>
      </c>
      <c r="P30">
        <v>733.5</v>
      </c>
      <c r="Q30">
        <v>50623.46</v>
      </c>
    </row>
    <row r="31" spans="2:17" x14ac:dyDescent="0.2">
      <c r="B31">
        <v>2022</v>
      </c>
      <c r="C31">
        <v>2261.8000000000002</v>
      </c>
      <c r="D31">
        <v>31595.7</v>
      </c>
      <c r="E31">
        <v>2308.8000000000002</v>
      </c>
      <c r="F31">
        <v>7986.3</v>
      </c>
      <c r="G31">
        <v>3003</v>
      </c>
      <c r="H31">
        <v>0</v>
      </c>
      <c r="I31">
        <v>0</v>
      </c>
      <c r="J31">
        <v>74.23</v>
      </c>
      <c r="K31">
        <v>1005.76</v>
      </c>
      <c r="L31">
        <v>101.75</v>
      </c>
      <c r="M31">
        <v>2250.1999999999998</v>
      </c>
      <c r="N31">
        <v>14793.199999999901</v>
      </c>
      <c r="O31">
        <v>42</v>
      </c>
      <c r="P31">
        <v>1721</v>
      </c>
      <c r="Q31">
        <v>67143.740000000005</v>
      </c>
    </row>
    <row r="32" spans="2:17" x14ac:dyDescent="0.2">
      <c r="B32">
        <v>2023</v>
      </c>
      <c r="C32">
        <v>2261.8000000000002</v>
      </c>
      <c r="D32">
        <v>35968.9</v>
      </c>
      <c r="E32">
        <v>2972.8</v>
      </c>
      <c r="F32">
        <v>8243.2999999999993</v>
      </c>
      <c r="G32">
        <v>5302</v>
      </c>
      <c r="H32">
        <v>0</v>
      </c>
      <c r="I32">
        <v>0</v>
      </c>
      <c r="J32">
        <v>212.82999999999899</v>
      </c>
      <c r="K32">
        <v>2623.96</v>
      </c>
      <c r="L32">
        <v>106.75</v>
      </c>
      <c r="M32">
        <v>2696.3999999999901</v>
      </c>
      <c r="N32">
        <v>16488.199999999899</v>
      </c>
      <c r="O32">
        <v>995</v>
      </c>
      <c r="P32">
        <v>1956</v>
      </c>
      <c r="Q32">
        <v>79827.94</v>
      </c>
    </row>
    <row r="33" spans="2:17" x14ac:dyDescent="0.2">
      <c r="B33">
        <v>2024</v>
      </c>
      <c r="C33">
        <v>2261.8000000000002</v>
      </c>
      <c r="D33">
        <v>41476.9</v>
      </c>
      <c r="E33">
        <v>3284.8</v>
      </c>
      <c r="F33">
        <v>8971.0499999999993</v>
      </c>
      <c r="G33">
        <v>5302</v>
      </c>
      <c r="H33">
        <v>0</v>
      </c>
      <c r="I33">
        <v>0</v>
      </c>
      <c r="J33">
        <v>212.82999999999899</v>
      </c>
      <c r="K33">
        <v>4873.46</v>
      </c>
      <c r="L33">
        <v>451.65</v>
      </c>
      <c r="M33">
        <v>3343.8999999999901</v>
      </c>
      <c r="N33">
        <v>17918.099999999999</v>
      </c>
      <c r="O33">
        <v>3191</v>
      </c>
      <c r="P33">
        <v>2394</v>
      </c>
      <c r="Q33">
        <v>93681.489999999903</v>
      </c>
    </row>
    <row r="34" spans="2:17" x14ac:dyDescent="0.2">
      <c r="B34">
        <v>2025</v>
      </c>
      <c r="C34">
        <v>2261.8000000000002</v>
      </c>
      <c r="D34">
        <v>44976.9</v>
      </c>
      <c r="E34">
        <v>3954.8</v>
      </c>
      <c r="F34">
        <v>10771.05</v>
      </c>
      <c r="G34">
        <v>5302</v>
      </c>
      <c r="H34">
        <v>0</v>
      </c>
      <c r="I34">
        <v>200</v>
      </c>
      <c r="J34">
        <v>437.83</v>
      </c>
      <c r="K34">
        <v>8073.96</v>
      </c>
      <c r="L34">
        <v>1583.65</v>
      </c>
      <c r="M34">
        <v>4493</v>
      </c>
      <c r="N34">
        <v>22261.5</v>
      </c>
      <c r="O34">
        <v>5905</v>
      </c>
      <c r="P34">
        <v>3544</v>
      </c>
      <c r="Q34">
        <v>113765.49</v>
      </c>
    </row>
    <row r="35" spans="2:17" x14ac:dyDescent="0.2">
      <c r="B35">
        <v>2026</v>
      </c>
      <c r="C35">
        <v>2261.8000000000002</v>
      </c>
      <c r="D35">
        <v>49076.9</v>
      </c>
      <c r="E35">
        <v>3954.8</v>
      </c>
      <c r="F35">
        <v>11729.05</v>
      </c>
      <c r="G35">
        <v>5302</v>
      </c>
      <c r="H35">
        <v>1000</v>
      </c>
      <c r="I35">
        <v>800</v>
      </c>
      <c r="J35">
        <v>1666.32</v>
      </c>
      <c r="K35">
        <v>12129.96</v>
      </c>
      <c r="L35">
        <v>3361.15</v>
      </c>
      <c r="M35">
        <v>8635.9</v>
      </c>
      <c r="N35">
        <v>26439.5</v>
      </c>
      <c r="O35">
        <v>12059</v>
      </c>
      <c r="P35">
        <v>5644</v>
      </c>
      <c r="Q35">
        <v>144060.38</v>
      </c>
    </row>
    <row r="36" spans="2:17" x14ac:dyDescent="0.2">
      <c r="B36">
        <v>2027</v>
      </c>
      <c r="C36">
        <v>2261.8000000000002</v>
      </c>
      <c r="D36">
        <v>53276.9</v>
      </c>
      <c r="E36">
        <v>4954.8</v>
      </c>
      <c r="F36">
        <v>11729.05</v>
      </c>
      <c r="G36">
        <v>5302</v>
      </c>
      <c r="H36">
        <v>1300</v>
      </c>
      <c r="I36">
        <v>1376</v>
      </c>
      <c r="J36">
        <v>2266.3199999999902</v>
      </c>
      <c r="K36">
        <v>18175.86</v>
      </c>
      <c r="L36">
        <v>6971.15</v>
      </c>
      <c r="M36">
        <v>10135.9</v>
      </c>
      <c r="N36">
        <v>36239.5</v>
      </c>
      <c r="O36">
        <v>17729</v>
      </c>
      <c r="P36">
        <v>5744</v>
      </c>
      <c r="Q36">
        <v>177462.27999999901</v>
      </c>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10"/>
  <sheetViews>
    <sheetView workbookViewId="0">
      <selection activeCell="B2" sqref="B2"/>
    </sheetView>
  </sheetViews>
  <sheetFormatPr baseColWidth="10" defaultColWidth="11" defaultRowHeight="16" x14ac:dyDescent="0.2"/>
  <cols>
    <col min="2" max="2" width="26.5" customWidth="1"/>
    <col min="3" max="7" width="14.33203125" style="1" customWidth="1"/>
    <col min="8" max="8" width="16.33203125" style="1" customWidth="1"/>
    <col min="9" max="10" width="14.33203125" style="1" customWidth="1"/>
    <col min="11" max="11" width="16.83203125" style="1" customWidth="1"/>
  </cols>
  <sheetData>
    <row r="1" spans="2:11" ht="24" x14ac:dyDescent="0.3">
      <c r="B1" s="8" t="s">
        <v>821</v>
      </c>
    </row>
    <row r="3" spans="2:11" x14ac:dyDescent="0.2">
      <c r="B3" t="s">
        <v>3</v>
      </c>
      <c r="C3" t="s">
        <v>5</v>
      </c>
      <c r="D3" t="s">
        <v>6</v>
      </c>
      <c r="E3" t="s">
        <v>7</v>
      </c>
      <c r="F3" t="s">
        <v>8</v>
      </c>
      <c r="G3" t="s">
        <v>9</v>
      </c>
      <c r="H3" t="s">
        <v>10</v>
      </c>
      <c r="I3" t="s">
        <v>11</v>
      </c>
      <c r="J3" t="s">
        <v>12</v>
      </c>
      <c r="K3" s="89" t="s">
        <v>80</v>
      </c>
    </row>
    <row r="4" spans="2:11" x14ac:dyDescent="0.2">
      <c r="B4">
        <v>2022</v>
      </c>
      <c r="C4" s="90">
        <v>5369.05</v>
      </c>
      <c r="D4" s="90">
        <v>0</v>
      </c>
      <c r="E4" s="90">
        <v>342</v>
      </c>
      <c r="F4" s="90">
        <v>0</v>
      </c>
      <c r="G4" s="90">
        <v>3008.5</v>
      </c>
      <c r="H4" s="90">
        <v>610.23</v>
      </c>
      <c r="I4" s="90">
        <v>2526</v>
      </c>
      <c r="J4" s="90">
        <v>0</v>
      </c>
      <c r="K4" s="91">
        <v>11855.779999999901</v>
      </c>
    </row>
    <row r="5" spans="2:11" x14ac:dyDescent="0.2">
      <c r="B5">
        <v>2023</v>
      </c>
      <c r="C5" s="90">
        <v>0</v>
      </c>
      <c r="D5" s="90">
        <v>344</v>
      </c>
      <c r="E5" s="90">
        <v>257</v>
      </c>
      <c r="F5" s="90">
        <v>2299</v>
      </c>
      <c r="G5" s="90">
        <v>824.8</v>
      </c>
      <c r="H5" s="90">
        <v>1054.2</v>
      </c>
      <c r="I5" s="90">
        <v>1683</v>
      </c>
      <c r="J5" s="90">
        <v>932</v>
      </c>
      <c r="K5" s="91">
        <v>7394</v>
      </c>
    </row>
    <row r="6" spans="2:11" x14ac:dyDescent="0.2">
      <c r="B6">
        <v>2024</v>
      </c>
      <c r="C6" s="90">
        <v>0</v>
      </c>
      <c r="D6" s="90">
        <v>0</v>
      </c>
      <c r="E6" s="90">
        <v>727.75</v>
      </c>
      <c r="F6" s="90">
        <v>0</v>
      </c>
      <c r="G6" s="90">
        <v>47.5</v>
      </c>
      <c r="H6" s="90">
        <v>450</v>
      </c>
      <c r="I6" s="90">
        <v>0</v>
      </c>
      <c r="J6" s="90">
        <v>0</v>
      </c>
      <c r="K6" s="91">
        <v>1225.25</v>
      </c>
    </row>
    <row r="7" spans="2:11" x14ac:dyDescent="0.2">
      <c r="B7">
        <v>2025</v>
      </c>
      <c r="C7" s="90">
        <v>500</v>
      </c>
      <c r="D7" s="90">
        <v>0</v>
      </c>
      <c r="E7" s="90">
        <v>900</v>
      </c>
      <c r="F7" s="90">
        <v>0</v>
      </c>
      <c r="G7" s="90">
        <v>0</v>
      </c>
      <c r="H7" s="90">
        <v>0</v>
      </c>
      <c r="I7" s="90">
        <v>1235</v>
      </c>
      <c r="J7" s="90">
        <v>0</v>
      </c>
      <c r="K7" s="91">
        <v>2635</v>
      </c>
    </row>
    <row r="8" spans="2:11" x14ac:dyDescent="0.2">
      <c r="B8">
        <v>2026</v>
      </c>
      <c r="C8" s="90">
        <v>0</v>
      </c>
      <c r="D8" s="90">
        <v>0</v>
      </c>
      <c r="E8" s="90">
        <v>0</v>
      </c>
      <c r="F8" s="90">
        <v>0</v>
      </c>
      <c r="G8" s="90">
        <v>0</v>
      </c>
      <c r="H8" s="90">
        <v>0</v>
      </c>
      <c r="I8" s="90">
        <v>1400</v>
      </c>
      <c r="J8" s="90">
        <v>0</v>
      </c>
      <c r="K8" s="91">
        <v>1400</v>
      </c>
    </row>
    <row r="9" spans="2:11" x14ac:dyDescent="0.2">
      <c r="B9">
        <v>2027</v>
      </c>
      <c r="C9" s="90">
        <v>0</v>
      </c>
      <c r="D9" s="90">
        <v>0</v>
      </c>
      <c r="E9" s="90">
        <v>0</v>
      </c>
      <c r="F9" s="90">
        <v>0</v>
      </c>
      <c r="G9" s="90">
        <v>0</v>
      </c>
      <c r="H9" s="90">
        <v>0</v>
      </c>
      <c r="I9" s="90">
        <v>0</v>
      </c>
      <c r="J9" s="90">
        <v>0</v>
      </c>
      <c r="K9" s="91">
        <v>0</v>
      </c>
    </row>
    <row r="10" spans="2:11" x14ac:dyDescent="0.2">
      <c r="B10" s="87" t="s">
        <v>80</v>
      </c>
      <c r="C10" s="92">
        <v>5869.05</v>
      </c>
      <c r="D10" s="92">
        <v>344</v>
      </c>
      <c r="E10" s="92">
        <v>2226.75</v>
      </c>
      <c r="F10" s="92">
        <v>2299</v>
      </c>
      <c r="G10" s="92">
        <v>3880.8</v>
      </c>
      <c r="H10" s="92">
        <v>2114.4299999999998</v>
      </c>
      <c r="I10" s="92">
        <v>6844</v>
      </c>
      <c r="J10" s="92">
        <v>932</v>
      </c>
      <c r="K10" s="93">
        <v>24510.03</v>
      </c>
    </row>
  </sheetData>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236F-90ED-6A45-BEC7-368E4414BE11}">
  <dimension ref="B1:Q36"/>
  <sheetViews>
    <sheetView zoomScaleNormal="100" workbookViewId="0">
      <selection activeCell="B2" sqref="B2"/>
    </sheetView>
  </sheetViews>
  <sheetFormatPr baseColWidth="10" defaultColWidth="11" defaultRowHeight="16" x14ac:dyDescent="0.2"/>
  <cols>
    <col min="2" max="2" width="26.5" customWidth="1"/>
    <col min="3" max="8" width="15.5" customWidth="1"/>
    <col min="9" max="9" width="16.33203125" customWidth="1"/>
    <col min="10" max="13" width="15.5" customWidth="1"/>
    <col min="14" max="14" width="16.83203125" customWidth="1"/>
    <col min="15" max="16" width="15.5" customWidth="1"/>
  </cols>
  <sheetData>
    <row r="1" spans="2:17" ht="24" x14ac:dyDescent="0.3">
      <c r="B1" s="8" t="s">
        <v>822</v>
      </c>
    </row>
    <row r="2" spans="2:17" x14ac:dyDescent="0.2">
      <c r="B2" t="s">
        <v>121</v>
      </c>
    </row>
    <row r="3" spans="2:17" x14ac:dyDescent="0.2">
      <c r="B3" t="s">
        <v>3</v>
      </c>
      <c r="C3" t="s">
        <v>4</v>
      </c>
      <c r="D3" t="s">
        <v>5</v>
      </c>
      <c r="E3" t="s">
        <v>6</v>
      </c>
      <c r="F3" t="s">
        <v>7</v>
      </c>
      <c r="G3" t="s">
        <v>8</v>
      </c>
      <c r="H3" t="s">
        <v>224</v>
      </c>
      <c r="I3" t="s">
        <v>101</v>
      </c>
      <c r="J3" t="s">
        <v>9</v>
      </c>
      <c r="K3" t="s">
        <v>10</v>
      </c>
      <c r="L3" t="s">
        <v>46</v>
      </c>
      <c r="M3" t="s">
        <v>48</v>
      </c>
      <c r="N3" t="s">
        <v>11</v>
      </c>
      <c r="O3" t="s">
        <v>12</v>
      </c>
      <c r="P3" t="s">
        <v>15</v>
      </c>
      <c r="Q3" t="s">
        <v>80</v>
      </c>
    </row>
    <row r="4" spans="2:17" x14ac:dyDescent="0.2">
      <c r="B4">
        <v>1995</v>
      </c>
      <c r="C4">
        <v>0</v>
      </c>
      <c r="D4">
        <v>0</v>
      </c>
      <c r="E4">
        <v>5</v>
      </c>
      <c r="F4">
        <v>0</v>
      </c>
      <c r="G4">
        <v>0</v>
      </c>
      <c r="H4">
        <v>0</v>
      </c>
      <c r="I4">
        <v>0</v>
      </c>
      <c r="J4">
        <v>0</v>
      </c>
      <c r="K4">
        <v>0</v>
      </c>
      <c r="L4">
        <v>0</v>
      </c>
      <c r="M4">
        <v>0</v>
      </c>
      <c r="N4">
        <v>0</v>
      </c>
      <c r="O4">
        <v>0</v>
      </c>
      <c r="P4">
        <v>0</v>
      </c>
      <c r="Q4">
        <v>5</v>
      </c>
    </row>
    <row r="5" spans="2:17" x14ac:dyDescent="0.2">
      <c r="B5">
        <v>1996</v>
      </c>
      <c r="C5">
        <v>0</v>
      </c>
      <c r="D5">
        <v>0</v>
      </c>
      <c r="E5">
        <v>5</v>
      </c>
      <c r="F5">
        <v>0</v>
      </c>
      <c r="G5">
        <v>16.8</v>
      </c>
      <c r="H5">
        <v>0</v>
      </c>
      <c r="I5">
        <v>0</v>
      </c>
      <c r="J5">
        <v>0</v>
      </c>
      <c r="K5">
        <v>0</v>
      </c>
      <c r="L5">
        <v>0</v>
      </c>
      <c r="M5">
        <v>0</v>
      </c>
      <c r="N5">
        <v>0</v>
      </c>
      <c r="O5">
        <v>0</v>
      </c>
      <c r="P5">
        <v>0</v>
      </c>
      <c r="Q5">
        <v>21.8</v>
      </c>
    </row>
    <row r="6" spans="2:17" x14ac:dyDescent="0.2">
      <c r="B6">
        <v>1997</v>
      </c>
      <c r="C6">
        <v>0</v>
      </c>
      <c r="D6">
        <v>0</v>
      </c>
      <c r="E6">
        <v>5</v>
      </c>
      <c r="F6">
        <v>0</v>
      </c>
      <c r="G6">
        <v>16.8</v>
      </c>
      <c r="H6">
        <v>0</v>
      </c>
      <c r="I6">
        <v>0</v>
      </c>
      <c r="J6">
        <v>0</v>
      </c>
      <c r="K6">
        <v>0</v>
      </c>
      <c r="L6">
        <v>0</v>
      </c>
      <c r="M6">
        <v>0</v>
      </c>
      <c r="N6">
        <v>0</v>
      </c>
      <c r="O6">
        <v>0</v>
      </c>
      <c r="P6">
        <v>0</v>
      </c>
      <c r="Q6">
        <v>21.8</v>
      </c>
    </row>
    <row r="7" spans="2:17" x14ac:dyDescent="0.2">
      <c r="B7">
        <v>1998</v>
      </c>
      <c r="C7">
        <v>0</v>
      </c>
      <c r="D7">
        <v>0</v>
      </c>
      <c r="E7">
        <v>5</v>
      </c>
      <c r="F7">
        <v>0</v>
      </c>
      <c r="G7">
        <v>16.8</v>
      </c>
      <c r="H7">
        <v>0</v>
      </c>
      <c r="I7">
        <v>0</v>
      </c>
      <c r="J7">
        <v>0</v>
      </c>
      <c r="K7">
        <v>3.3</v>
      </c>
      <c r="L7">
        <v>0</v>
      </c>
      <c r="M7">
        <v>0</v>
      </c>
      <c r="N7">
        <v>0</v>
      </c>
      <c r="O7">
        <v>0</v>
      </c>
      <c r="P7">
        <v>0</v>
      </c>
      <c r="Q7">
        <v>25.1</v>
      </c>
    </row>
    <row r="8" spans="2:17" x14ac:dyDescent="0.2">
      <c r="B8">
        <v>1999</v>
      </c>
      <c r="C8">
        <v>0</v>
      </c>
      <c r="D8">
        <v>0</v>
      </c>
      <c r="E8">
        <v>5</v>
      </c>
      <c r="F8">
        <v>0</v>
      </c>
      <c r="G8">
        <v>16.8</v>
      </c>
      <c r="H8">
        <v>0</v>
      </c>
      <c r="I8">
        <v>0</v>
      </c>
      <c r="J8">
        <v>0</v>
      </c>
      <c r="K8">
        <v>3.3</v>
      </c>
      <c r="L8">
        <v>0</v>
      </c>
      <c r="M8">
        <v>0</v>
      </c>
      <c r="N8">
        <v>0</v>
      </c>
      <c r="O8">
        <v>0</v>
      </c>
      <c r="P8">
        <v>0</v>
      </c>
      <c r="Q8">
        <v>25.1</v>
      </c>
    </row>
    <row r="9" spans="2:17" x14ac:dyDescent="0.2">
      <c r="B9">
        <v>2000</v>
      </c>
      <c r="C9">
        <v>0</v>
      </c>
      <c r="D9">
        <v>0</v>
      </c>
      <c r="E9">
        <v>5</v>
      </c>
      <c r="F9">
        <v>0</v>
      </c>
      <c r="G9">
        <v>16.8</v>
      </c>
      <c r="H9">
        <v>0</v>
      </c>
      <c r="I9">
        <v>0</v>
      </c>
      <c r="J9">
        <v>0</v>
      </c>
      <c r="K9">
        <v>3.3</v>
      </c>
      <c r="L9">
        <v>0</v>
      </c>
      <c r="M9">
        <v>0</v>
      </c>
      <c r="N9">
        <v>0</v>
      </c>
      <c r="O9">
        <v>0</v>
      </c>
      <c r="P9">
        <v>0</v>
      </c>
      <c r="Q9">
        <v>25.1</v>
      </c>
    </row>
    <row r="10" spans="2:17" x14ac:dyDescent="0.2">
      <c r="B10">
        <v>2001</v>
      </c>
      <c r="C10">
        <v>0</v>
      </c>
      <c r="D10">
        <v>0</v>
      </c>
      <c r="E10">
        <v>45</v>
      </c>
      <c r="F10">
        <v>0</v>
      </c>
      <c r="G10">
        <v>16.8</v>
      </c>
      <c r="H10">
        <v>0</v>
      </c>
      <c r="I10">
        <v>0</v>
      </c>
      <c r="J10">
        <v>0</v>
      </c>
      <c r="K10">
        <v>3.3</v>
      </c>
      <c r="L10">
        <v>0</v>
      </c>
      <c r="M10">
        <v>0</v>
      </c>
      <c r="N10">
        <v>0</v>
      </c>
      <c r="O10">
        <v>0</v>
      </c>
      <c r="P10">
        <v>0</v>
      </c>
      <c r="Q10">
        <v>65.099999999999994</v>
      </c>
    </row>
    <row r="11" spans="2:17" x14ac:dyDescent="0.2">
      <c r="B11">
        <v>2002</v>
      </c>
      <c r="C11">
        <v>0</v>
      </c>
      <c r="D11">
        <v>0</v>
      </c>
      <c r="E11">
        <v>205</v>
      </c>
      <c r="F11">
        <v>0</v>
      </c>
      <c r="G11">
        <v>16.8</v>
      </c>
      <c r="H11">
        <v>0</v>
      </c>
      <c r="I11">
        <v>0</v>
      </c>
      <c r="J11">
        <v>0</v>
      </c>
      <c r="K11">
        <v>3.3</v>
      </c>
      <c r="L11">
        <v>0</v>
      </c>
      <c r="M11">
        <v>0</v>
      </c>
      <c r="N11">
        <v>0</v>
      </c>
      <c r="O11">
        <v>0</v>
      </c>
      <c r="P11">
        <v>0</v>
      </c>
      <c r="Q11">
        <v>225.1</v>
      </c>
    </row>
    <row r="12" spans="2:17" x14ac:dyDescent="0.2">
      <c r="B12">
        <v>2003</v>
      </c>
      <c r="C12">
        <v>0</v>
      </c>
      <c r="D12">
        <v>0</v>
      </c>
      <c r="E12">
        <v>421.4</v>
      </c>
      <c r="F12">
        <v>0</v>
      </c>
      <c r="G12">
        <v>16.8</v>
      </c>
      <c r="H12">
        <v>0</v>
      </c>
      <c r="I12">
        <v>0</v>
      </c>
      <c r="J12">
        <v>0</v>
      </c>
      <c r="K12">
        <v>3.3</v>
      </c>
      <c r="L12">
        <v>0</v>
      </c>
      <c r="M12">
        <v>0</v>
      </c>
      <c r="N12">
        <v>0</v>
      </c>
      <c r="O12">
        <v>0</v>
      </c>
      <c r="P12">
        <v>0</v>
      </c>
      <c r="Q12">
        <v>441.5</v>
      </c>
    </row>
    <row r="13" spans="2:17" x14ac:dyDescent="0.2">
      <c r="B13">
        <v>2004</v>
      </c>
      <c r="C13">
        <v>0</v>
      </c>
      <c r="D13">
        <v>0</v>
      </c>
      <c r="E13">
        <v>421.4</v>
      </c>
      <c r="F13">
        <v>4.5</v>
      </c>
      <c r="G13">
        <v>16.8</v>
      </c>
      <c r="H13">
        <v>0</v>
      </c>
      <c r="I13">
        <v>0</v>
      </c>
      <c r="J13">
        <v>11.32</v>
      </c>
      <c r="K13">
        <v>28.5</v>
      </c>
      <c r="L13">
        <v>0</v>
      </c>
      <c r="M13">
        <v>0</v>
      </c>
      <c r="N13">
        <v>120</v>
      </c>
      <c r="O13">
        <v>0</v>
      </c>
      <c r="P13">
        <v>0</v>
      </c>
      <c r="Q13">
        <v>602.52</v>
      </c>
    </row>
    <row r="14" spans="2:17" x14ac:dyDescent="0.2">
      <c r="B14">
        <v>2005</v>
      </c>
      <c r="C14">
        <v>0</v>
      </c>
      <c r="D14">
        <v>0</v>
      </c>
      <c r="E14">
        <v>421.4</v>
      </c>
      <c r="F14">
        <v>4.5</v>
      </c>
      <c r="G14">
        <v>16.8</v>
      </c>
      <c r="H14">
        <v>0</v>
      </c>
      <c r="I14">
        <v>0</v>
      </c>
      <c r="J14">
        <v>11.32</v>
      </c>
      <c r="K14">
        <v>28.5</v>
      </c>
      <c r="L14">
        <v>0</v>
      </c>
      <c r="M14">
        <v>0</v>
      </c>
      <c r="N14">
        <v>210</v>
      </c>
      <c r="O14">
        <v>0</v>
      </c>
      <c r="P14">
        <v>0</v>
      </c>
      <c r="Q14">
        <v>692.52</v>
      </c>
    </row>
    <row r="15" spans="2:17" x14ac:dyDescent="0.2">
      <c r="B15">
        <v>2006</v>
      </c>
      <c r="C15">
        <v>0</v>
      </c>
      <c r="D15">
        <v>0</v>
      </c>
      <c r="E15">
        <v>421.4</v>
      </c>
      <c r="F15">
        <v>7</v>
      </c>
      <c r="G15">
        <v>16.8</v>
      </c>
      <c r="H15">
        <v>0</v>
      </c>
      <c r="I15">
        <v>0</v>
      </c>
      <c r="J15">
        <v>11.32</v>
      </c>
      <c r="K15">
        <v>28.5</v>
      </c>
      <c r="L15">
        <v>0</v>
      </c>
      <c r="M15">
        <v>0</v>
      </c>
      <c r="N15">
        <v>300</v>
      </c>
      <c r="O15">
        <v>0</v>
      </c>
      <c r="P15">
        <v>0</v>
      </c>
      <c r="Q15">
        <v>785.02</v>
      </c>
    </row>
    <row r="16" spans="2:17" x14ac:dyDescent="0.2">
      <c r="B16">
        <v>2007</v>
      </c>
      <c r="C16">
        <v>0</v>
      </c>
      <c r="D16">
        <v>0</v>
      </c>
      <c r="E16">
        <v>421.4</v>
      </c>
      <c r="F16">
        <v>7</v>
      </c>
      <c r="G16">
        <v>124.8</v>
      </c>
      <c r="H16">
        <v>0</v>
      </c>
      <c r="I16">
        <v>0</v>
      </c>
      <c r="J16">
        <v>11.32</v>
      </c>
      <c r="K16">
        <v>138.9</v>
      </c>
      <c r="L16">
        <v>0</v>
      </c>
      <c r="M16">
        <v>0</v>
      </c>
      <c r="N16">
        <v>390</v>
      </c>
      <c r="O16">
        <v>0</v>
      </c>
      <c r="P16">
        <v>0</v>
      </c>
      <c r="Q16">
        <v>1093.42</v>
      </c>
    </row>
    <row r="17" spans="2:17" x14ac:dyDescent="0.2">
      <c r="B17">
        <v>2008</v>
      </c>
      <c r="C17">
        <v>0</v>
      </c>
      <c r="D17">
        <v>0</v>
      </c>
      <c r="E17">
        <v>421.4</v>
      </c>
      <c r="F17">
        <v>7</v>
      </c>
      <c r="G17">
        <v>244.8</v>
      </c>
      <c r="H17">
        <v>0</v>
      </c>
      <c r="I17">
        <v>0</v>
      </c>
      <c r="J17">
        <v>11.32</v>
      </c>
      <c r="K17">
        <v>138.9</v>
      </c>
      <c r="L17">
        <v>0</v>
      </c>
      <c r="M17">
        <v>0</v>
      </c>
      <c r="N17">
        <v>390</v>
      </c>
      <c r="O17">
        <v>0</v>
      </c>
      <c r="P17">
        <v>0</v>
      </c>
      <c r="Q17">
        <v>1213.42</v>
      </c>
    </row>
    <row r="18" spans="2:17" x14ac:dyDescent="0.2">
      <c r="B18">
        <v>2009</v>
      </c>
      <c r="C18">
        <v>30</v>
      </c>
      <c r="D18">
        <v>2</v>
      </c>
      <c r="E18">
        <v>442.4</v>
      </c>
      <c r="F18">
        <v>7</v>
      </c>
      <c r="G18">
        <v>244.8</v>
      </c>
      <c r="H18">
        <v>0</v>
      </c>
      <c r="I18">
        <v>0</v>
      </c>
      <c r="J18">
        <v>11.32</v>
      </c>
      <c r="K18">
        <v>151.19999999999999</v>
      </c>
      <c r="L18">
        <v>0</v>
      </c>
      <c r="M18">
        <v>0</v>
      </c>
      <c r="N18">
        <v>674.4</v>
      </c>
      <c r="O18">
        <v>0</v>
      </c>
      <c r="P18">
        <v>0</v>
      </c>
      <c r="Q18">
        <v>1563.12</v>
      </c>
    </row>
    <row r="19" spans="2:17" x14ac:dyDescent="0.2">
      <c r="B19">
        <v>2010</v>
      </c>
      <c r="C19">
        <v>195</v>
      </c>
      <c r="D19">
        <v>138.5</v>
      </c>
      <c r="E19">
        <v>858.7</v>
      </c>
      <c r="F19">
        <v>67</v>
      </c>
      <c r="G19">
        <v>244.8</v>
      </c>
      <c r="H19">
        <v>0</v>
      </c>
      <c r="I19">
        <v>0</v>
      </c>
      <c r="J19">
        <v>25.32</v>
      </c>
      <c r="K19">
        <v>193.5</v>
      </c>
      <c r="L19">
        <v>0</v>
      </c>
      <c r="M19">
        <v>0</v>
      </c>
      <c r="N19">
        <v>1321.19999999999</v>
      </c>
      <c r="O19">
        <v>0</v>
      </c>
      <c r="P19">
        <v>0</v>
      </c>
      <c r="Q19">
        <v>3044.01999999999</v>
      </c>
    </row>
    <row r="20" spans="2:17" x14ac:dyDescent="0.2">
      <c r="B20">
        <v>2011</v>
      </c>
      <c r="C20">
        <v>195</v>
      </c>
      <c r="D20">
        <v>145</v>
      </c>
      <c r="E20">
        <v>869.5</v>
      </c>
      <c r="F20">
        <v>115.3</v>
      </c>
      <c r="G20">
        <v>244.8</v>
      </c>
      <c r="H20">
        <v>0</v>
      </c>
      <c r="I20">
        <v>0</v>
      </c>
      <c r="J20">
        <v>25.32</v>
      </c>
      <c r="K20">
        <v>193.5</v>
      </c>
      <c r="L20">
        <v>0</v>
      </c>
      <c r="M20">
        <v>0</v>
      </c>
      <c r="N20">
        <v>1504.79999999999</v>
      </c>
      <c r="O20">
        <v>0</v>
      </c>
      <c r="P20">
        <v>0</v>
      </c>
      <c r="Q20">
        <v>3293.2199999999898</v>
      </c>
    </row>
    <row r="21" spans="2:17" x14ac:dyDescent="0.2">
      <c r="B21">
        <v>2012</v>
      </c>
      <c r="C21">
        <v>195</v>
      </c>
      <c r="D21">
        <v>299.3</v>
      </c>
      <c r="E21">
        <v>869.5</v>
      </c>
      <c r="F21">
        <v>115.3</v>
      </c>
      <c r="G21">
        <v>244.8</v>
      </c>
      <c r="H21">
        <v>0</v>
      </c>
      <c r="I21">
        <v>0</v>
      </c>
      <c r="J21">
        <v>25.33</v>
      </c>
      <c r="K21">
        <v>193.5</v>
      </c>
      <c r="L21">
        <v>0</v>
      </c>
      <c r="M21">
        <v>0</v>
      </c>
      <c r="N21">
        <v>1838.3999999999901</v>
      </c>
      <c r="O21">
        <v>0</v>
      </c>
      <c r="P21">
        <v>0</v>
      </c>
      <c r="Q21">
        <v>3781.1299999999901</v>
      </c>
    </row>
    <row r="22" spans="2:17" x14ac:dyDescent="0.2">
      <c r="B22">
        <v>2013</v>
      </c>
      <c r="C22">
        <v>490.2</v>
      </c>
      <c r="D22">
        <v>355.3</v>
      </c>
      <c r="E22">
        <v>1269.0999999999999</v>
      </c>
      <c r="F22">
        <v>515.29999999999995</v>
      </c>
      <c r="G22">
        <v>244.8</v>
      </c>
      <c r="H22">
        <v>0</v>
      </c>
      <c r="I22">
        <v>0</v>
      </c>
      <c r="J22">
        <v>43.73</v>
      </c>
      <c r="K22">
        <v>241.5</v>
      </c>
      <c r="L22">
        <v>0</v>
      </c>
      <c r="M22">
        <v>0</v>
      </c>
      <c r="N22">
        <v>3571.2</v>
      </c>
      <c r="O22">
        <v>0</v>
      </c>
      <c r="P22">
        <v>16</v>
      </c>
      <c r="Q22">
        <v>6747.1299999999901</v>
      </c>
    </row>
    <row r="23" spans="2:17" x14ac:dyDescent="0.2">
      <c r="B23">
        <v>2014</v>
      </c>
      <c r="C23">
        <v>712.2</v>
      </c>
      <c r="D23">
        <v>355.3</v>
      </c>
      <c r="E23">
        <v>1269.0999999999999</v>
      </c>
      <c r="F23">
        <v>911.3</v>
      </c>
      <c r="G23">
        <v>244.8</v>
      </c>
      <c r="H23">
        <v>0</v>
      </c>
      <c r="I23">
        <v>0</v>
      </c>
      <c r="J23">
        <v>43.73</v>
      </c>
      <c r="K23">
        <v>241.5</v>
      </c>
      <c r="L23">
        <v>0</v>
      </c>
      <c r="M23">
        <v>0</v>
      </c>
      <c r="N23">
        <v>4022.2999999999902</v>
      </c>
      <c r="O23">
        <v>0</v>
      </c>
      <c r="P23">
        <v>16</v>
      </c>
      <c r="Q23">
        <v>7816.23</v>
      </c>
    </row>
    <row r="24" spans="2:17" x14ac:dyDescent="0.2">
      <c r="B24">
        <v>2015</v>
      </c>
      <c r="C24">
        <v>712.2</v>
      </c>
      <c r="D24">
        <v>722.7</v>
      </c>
      <c r="E24">
        <v>1269.0999999999999</v>
      </c>
      <c r="F24">
        <v>3284.5</v>
      </c>
      <c r="G24">
        <v>373.8</v>
      </c>
      <c r="H24">
        <v>0</v>
      </c>
      <c r="I24">
        <v>0</v>
      </c>
      <c r="J24">
        <v>61.73</v>
      </c>
      <c r="K24">
        <v>241.53</v>
      </c>
      <c r="L24">
        <v>0</v>
      </c>
      <c r="M24">
        <v>0</v>
      </c>
      <c r="N24">
        <v>5083.7999999999902</v>
      </c>
      <c r="O24">
        <v>0</v>
      </c>
      <c r="P24">
        <v>16</v>
      </c>
      <c r="Q24">
        <v>11765.359999999901</v>
      </c>
    </row>
    <row r="25" spans="2:17" x14ac:dyDescent="0.2">
      <c r="B25">
        <v>2016</v>
      </c>
      <c r="C25">
        <v>712.2</v>
      </c>
      <c r="D25">
        <v>1205.5</v>
      </c>
      <c r="E25">
        <v>1269.0999999999999</v>
      </c>
      <c r="F25">
        <v>3866.5</v>
      </c>
      <c r="G25">
        <v>517.79999999999995</v>
      </c>
      <c r="H25">
        <v>0</v>
      </c>
      <c r="I25">
        <v>0</v>
      </c>
      <c r="J25">
        <v>63.73</v>
      </c>
      <c r="K25">
        <v>241.53</v>
      </c>
      <c r="L25">
        <v>0</v>
      </c>
      <c r="M25">
        <v>0</v>
      </c>
      <c r="N25">
        <v>5083.7999999999902</v>
      </c>
      <c r="O25">
        <v>30</v>
      </c>
      <c r="P25">
        <v>99.2</v>
      </c>
      <c r="Q25">
        <v>13089.36</v>
      </c>
    </row>
    <row r="26" spans="2:17" x14ac:dyDescent="0.2">
      <c r="B26">
        <v>2017</v>
      </c>
      <c r="C26">
        <v>877.2</v>
      </c>
      <c r="D26">
        <v>1909.9</v>
      </c>
      <c r="E26">
        <v>1269.0999999999999</v>
      </c>
      <c r="F26">
        <v>4999.3</v>
      </c>
      <c r="G26">
        <v>1117.8</v>
      </c>
      <c r="H26">
        <v>0</v>
      </c>
      <c r="I26">
        <v>0</v>
      </c>
      <c r="J26">
        <v>63.73</v>
      </c>
      <c r="K26">
        <v>309.93</v>
      </c>
      <c r="L26">
        <v>33</v>
      </c>
      <c r="M26">
        <v>8</v>
      </c>
      <c r="N26">
        <v>5769.99999999999</v>
      </c>
      <c r="O26">
        <v>30</v>
      </c>
      <c r="P26">
        <v>99.2</v>
      </c>
      <c r="Q26">
        <v>16487.16</v>
      </c>
    </row>
    <row r="27" spans="2:17" x14ac:dyDescent="0.2">
      <c r="B27">
        <v>2018</v>
      </c>
      <c r="C27">
        <v>1186.2</v>
      </c>
      <c r="D27">
        <v>3190.7</v>
      </c>
      <c r="E27">
        <v>1297.0999999999999</v>
      </c>
      <c r="F27">
        <v>5799.3</v>
      </c>
      <c r="G27">
        <v>1117.8</v>
      </c>
      <c r="H27">
        <v>0</v>
      </c>
      <c r="I27">
        <v>0</v>
      </c>
      <c r="J27">
        <v>63.73</v>
      </c>
      <c r="K27">
        <v>361.93</v>
      </c>
      <c r="L27">
        <v>33</v>
      </c>
      <c r="M27">
        <v>8</v>
      </c>
      <c r="N27">
        <v>7892.1999999999898</v>
      </c>
      <c r="O27">
        <v>30</v>
      </c>
      <c r="P27">
        <v>99.2</v>
      </c>
      <c r="Q27">
        <v>21079.16</v>
      </c>
    </row>
    <row r="28" spans="2:17" x14ac:dyDescent="0.2">
      <c r="B28">
        <v>2019</v>
      </c>
      <c r="C28">
        <v>1555.8</v>
      </c>
      <c r="D28">
        <v>4797.8999999999996</v>
      </c>
      <c r="E28">
        <v>1703.8</v>
      </c>
      <c r="F28">
        <v>7329.3</v>
      </c>
      <c r="G28">
        <v>1117.8</v>
      </c>
      <c r="H28">
        <v>0</v>
      </c>
      <c r="I28">
        <v>0</v>
      </c>
      <c r="J28">
        <v>66.73</v>
      </c>
      <c r="K28">
        <v>366.93</v>
      </c>
      <c r="L28">
        <v>33</v>
      </c>
      <c r="M28">
        <v>128</v>
      </c>
      <c r="N28">
        <v>9698.1999999999898</v>
      </c>
      <c r="O28">
        <v>30</v>
      </c>
      <c r="P28">
        <v>99.2</v>
      </c>
      <c r="Q28">
        <v>26926.66</v>
      </c>
    </row>
    <row r="29" spans="2:17" x14ac:dyDescent="0.2">
      <c r="B29">
        <v>2020</v>
      </c>
      <c r="C29">
        <v>2261.8000000000002</v>
      </c>
      <c r="D29">
        <v>7779.7999999999902</v>
      </c>
      <c r="E29">
        <v>1703.8</v>
      </c>
      <c r="F29">
        <v>7644.3</v>
      </c>
      <c r="G29">
        <v>2601.3000000000002</v>
      </c>
      <c r="H29">
        <v>0</v>
      </c>
      <c r="I29">
        <v>0</v>
      </c>
      <c r="J29">
        <v>66.73</v>
      </c>
      <c r="K29">
        <v>391.93</v>
      </c>
      <c r="L29">
        <v>93.75</v>
      </c>
      <c r="M29">
        <v>128</v>
      </c>
      <c r="N29">
        <v>10412.199999999901</v>
      </c>
      <c r="O29">
        <v>42</v>
      </c>
      <c r="P29">
        <v>99.2</v>
      </c>
      <c r="Q29">
        <v>33224.809999999903</v>
      </c>
    </row>
    <row r="30" spans="2:17" x14ac:dyDescent="0.2">
      <c r="B30">
        <v>2021</v>
      </c>
      <c r="C30">
        <v>2261.8000000000002</v>
      </c>
      <c r="D30">
        <v>21569.65</v>
      </c>
      <c r="E30">
        <v>2308.8000000000002</v>
      </c>
      <c r="F30">
        <v>7644.3</v>
      </c>
      <c r="G30">
        <v>3003</v>
      </c>
      <c r="H30">
        <v>0</v>
      </c>
      <c r="I30">
        <v>0</v>
      </c>
      <c r="J30">
        <v>66.73</v>
      </c>
      <c r="K30">
        <v>395.53</v>
      </c>
      <c r="L30">
        <v>93.75</v>
      </c>
      <c r="M30">
        <v>237.2</v>
      </c>
      <c r="N30">
        <v>12267.199999999901</v>
      </c>
      <c r="O30">
        <v>42</v>
      </c>
      <c r="P30">
        <v>733.5</v>
      </c>
      <c r="Q30">
        <v>50623.46</v>
      </c>
    </row>
    <row r="31" spans="2:17" x14ac:dyDescent="0.2">
      <c r="B31">
        <v>2022</v>
      </c>
      <c r="C31">
        <v>2261.8000000000002</v>
      </c>
      <c r="D31">
        <v>31595.7</v>
      </c>
      <c r="E31">
        <v>2308.8000000000002</v>
      </c>
      <c r="F31">
        <v>7986.3</v>
      </c>
      <c r="G31">
        <v>3003</v>
      </c>
      <c r="H31">
        <v>0</v>
      </c>
      <c r="I31">
        <v>0</v>
      </c>
      <c r="J31">
        <v>74.23</v>
      </c>
      <c r="K31">
        <v>1005.76</v>
      </c>
      <c r="L31">
        <v>101.75</v>
      </c>
      <c r="M31">
        <v>2250.1999999999998</v>
      </c>
      <c r="N31">
        <v>14793.199999999901</v>
      </c>
      <c r="O31">
        <v>42</v>
      </c>
      <c r="P31">
        <v>1721</v>
      </c>
      <c r="Q31">
        <v>67143.740000000005</v>
      </c>
    </row>
    <row r="32" spans="2:17" x14ac:dyDescent="0.2">
      <c r="B32">
        <v>2023</v>
      </c>
      <c r="C32">
        <v>2261.8000000000002</v>
      </c>
      <c r="D32">
        <v>35968.9</v>
      </c>
      <c r="E32">
        <v>2972.8</v>
      </c>
      <c r="F32">
        <v>8243.2999999999993</v>
      </c>
      <c r="G32">
        <v>5302</v>
      </c>
      <c r="H32">
        <v>0</v>
      </c>
      <c r="I32">
        <v>0</v>
      </c>
      <c r="J32">
        <v>212.82999999999899</v>
      </c>
      <c r="K32">
        <v>2623.96</v>
      </c>
      <c r="L32">
        <v>106.75</v>
      </c>
      <c r="M32">
        <v>2696.3999999999901</v>
      </c>
      <c r="N32">
        <v>16488.199999999899</v>
      </c>
      <c r="O32">
        <v>995</v>
      </c>
      <c r="P32">
        <v>1956</v>
      </c>
      <c r="Q32">
        <v>79827.94</v>
      </c>
    </row>
    <row r="33" spans="2:17" x14ac:dyDescent="0.2">
      <c r="B33">
        <v>2024</v>
      </c>
      <c r="C33">
        <v>2261.8000000000002</v>
      </c>
      <c r="D33">
        <v>41476.9</v>
      </c>
      <c r="E33">
        <v>3284.8</v>
      </c>
      <c r="F33">
        <v>8971.0499999999993</v>
      </c>
      <c r="G33">
        <v>5302</v>
      </c>
      <c r="H33">
        <v>0</v>
      </c>
      <c r="I33">
        <v>0</v>
      </c>
      <c r="J33">
        <v>212.82999999999899</v>
      </c>
      <c r="K33">
        <v>4873.46</v>
      </c>
      <c r="L33">
        <v>451.65</v>
      </c>
      <c r="M33">
        <v>3343.8999999999901</v>
      </c>
      <c r="N33">
        <v>17918.099999999999</v>
      </c>
      <c r="O33">
        <v>3191</v>
      </c>
      <c r="P33">
        <v>2394</v>
      </c>
      <c r="Q33">
        <v>93681.489999999903</v>
      </c>
    </row>
    <row r="34" spans="2:17" x14ac:dyDescent="0.2">
      <c r="B34">
        <v>2025</v>
      </c>
      <c r="C34">
        <v>2261.8000000000002</v>
      </c>
      <c r="D34">
        <v>44976.9</v>
      </c>
      <c r="E34">
        <v>3954.8</v>
      </c>
      <c r="F34">
        <v>10771.05</v>
      </c>
      <c r="G34">
        <v>5302</v>
      </c>
      <c r="H34">
        <v>0</v>
      </c>
      <c r="I34">
        <v>200</v>
      </c>
      <c r="J34">
        <v>437.83</v>
      </c>
      <c r="K34">
        <v>8073.96</v>
      </c>
      <c r="L34">
        <v>1583.65</v>
      </c>
      <c r="M34">
        <v>4493</v>
      </c>
      <c r="N34">
        <v>22261.5</v>
      </c>
      <c r="O34">
        <v>5905</v>
      </c>
      <c r="P34">
        <v>3544</v>
      </c>
      <c r="Q34">
        <v>113765.49</v>
      </c>
    </row>
    <row r="35" spans="2:17" x14ac:dyDescent="0.2">
      <c r="B35">
        <v>2026</v>
      </c>
      <c r="C35">
        <v>2261.8000000000002</v>
      </c>
      <c r="D35">
        <v>49076.9</v>
      </c>
      <c r="E35">
        <v>3954.8</v>
      </c>
      <c r="F35">
        <v>11729.05</v>
      </c>
      <c r="G35">
        <v>5302</v>
      </c>
      <c r="H35">
        <v>1000</v>
      </c>
      <c r="I35">
        <v>800</v>
      </c>
      <c r="J35">
        <v>1666.32</v>
      </c>
      <c r="K35">
        <v>12129.96</v>
      </c>
      <c r="L35">
        <v>3361.15</v>
      </c>
      <c r="M35">
        <v>8635.9</v>
      </c>
      <c r="N35">
        <v>26439.5</v>
      </c>
      <c r="O35">
        <v>12059</v>
      </c>
      <c r="P35">
        <v>5644</v>
      </c>
      <c r="Q35">
        <v>144060.38</v>
      </c>
    </row>
    <row r="36" spans="2:17" x14ac:dyDescent="0.2">
      <c r="B36">
        <v>2027</v>
      </c>
      <c r="C36">
        <v>2261.8000000000002</v>
      </c>
      <c r="D36">
        <v>53276.9</v>
      </c>
      <c r="E36">
        <v>4954.8</v>
      </c>
      <c r="F36">
        <v>11729.05</v>
      </c>
      <c r="G36">
        <v>5302</v>
      </c>
      <c r="H36">
        <v>1300</v>
      </c>
      <c r="I36">
        <v>1376</v>
      </c>
      <c r="J36">
        <v>2266.3199999999902</v>
      </c>
      <c r="K36">
        <v>18175.86</v>
      </c>
      <c r="L36">
        <v>6971.15</v>
      </c>
      <c r="M36">
        <v>10135.9</v>
      </c>
      <c r="N36">
        <v>36239.5</v>
      </c>
      <c r="O36">
        <v>17729</v>
      </c>
      <c r="P36">
        <v>5744</v>
      </c>
      <c r="Q36">
        <v>177462.27999999901</v>
      </c>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15"/>
  <sheetViews>
    <sheetView workbookViewId="0">
      <selection activeCell="B2" sqref="B2"/>
    </sheetView>
  </sheetViews>
  <sheetFormatPr baseColWidth="10" defaultColWidth="11" defaultRowHeight="16" x14ac:dyDescent="0.2"/>
  <cols>
    <col min="2" max="2" width="21.33203125" customWidth="1"/>
    <col min="3" max="4" width="14.5" style="1" customWidth="1"/>
    <col min="5" max="5" width="14.6640625" style="1" customWidth="1"/>
    <col min="6" max="6" width="14.5" style="1" customWidth="1"/>
  </cols>
  <sheetData>
    <row r="1" spans="2:7" ht="24" x14ac:dyDescent="0.3">
      <c r="B1" s="8" t="s">
        <v>823</v>
      </c>
    </row>
    <row r="3" spans="2:7" x14ac:dyDescent="0.2">
      <c r="B3" t="s">
        <v>28</v>
      </c>
      <c r="C3" s="15" t="s">
        <v>19</v>
      </c>
      <c r="D3" s="15" t="s">
        <v>20</v>
      </c>
      <c r="E3" s="15" t="s">
        <v>12</v>
      </c>
      <c r="F3" s="15" t="s">
        <v>17</v>
      </c>
      <c r="G3" s="37" t="s">
        <v>80</v>
      </c>
    </row>
    <row r="4" spans="2:7" x14ac:dyDescent="0.2">
      <c r="B4" s="4" t="s">
        <v>21</v>
      </c>
      <c r="C4" s="28">
        <v>22700.83</v>
      </c>
      <c r="D4" s="28">
        <v>27880.63</v>
      </c>
      <c r="E4" s="28">
        <v>42</v>
      </c>
      <c r="F4" s="28">
        <v>0</v>
      </c>
      <c r="G4" s="29">
        <v>50623.46</v>
      </c>
    </row>
    <row r="5" spans="2:7" x14ac:dyDescent="0.2">
      <c r="B5" s="4" t="s">
        <v>16</v>
      </c>
      <c r="C5" s="28">
        <v>10677.85</v>
      </c>
      <c r="D5" s="28">
        <v>13792.98</v>
      </c>
      <c r="E5" s="28">
        <v>932</v>
      </c>
      <c r="F5" s="28">
        <v>0</v>
      </c>
      <c r="G5" s="29">
        <v>25402.83</v>
      </c>
    </row>
    <row r="6" spans="2:7" x14ac:dyDescent="0.2">
      <c r="B6" s="4" t="s">
        <v>22</v>
      </c>
      <c r="C6" s="28">
        <v>5</v>
      </c>
      <c r="D6" s="28">
        <v>35.200000000000003</v>
      </c>
      <c r="E6" s="28">
        <v>0</v>
      </c>
      <c r="F6" s="28">
        <v>0</v>
      </c>
      <c r="G6" s="29">
        <v>40.200000000000003</v>
      </c>
    </row>
    <row r="7" spans="2:7" x14ac:dyDescent="0.2">
      <c r="B7" s="4" t="s">
        <v>23</v>
      </c>
      <c r="C7" s="28">
        <v>0</v>
      </c>
      <c r="D7" s="28">
        <v>30</v>
      </c>
      <c r="E7" s="28">
        <v>0</v>
      </c>
      <c r="F7" s="28">
        <v>0</v>
      </c>
      <c r="G7" s="29">
        <v>30</v>
      </c>
    </row>
    <row r="8" spans="2:7" x14ac:dyDescent="0.2">
      <c r="B8" s="4" t="s">
        <v>24</v>
      </c>
      <c r="C8" s="28">
        <v>33203.39</v>
      </c>
      <c r="D8" s="28">
        <v>23852.799999999999</v>
      </c>
      <c r="E8" s="28">
        <v>20603</v>
      </c>
      <c r="F8" s="28">
        <v>1080</v>
      </c>
      <c r="G8" s="29">
        <v>78739.19</v>
      </c>
    </row>
    <row r="9" spans="2:7" x14ac:dyDescent="0.2">
      <c r="B9" s="4" t="s">
        <v>25</v>
      </c>
      <c r="C9" s="28">
        <v>0</v>
      </c>
      <c r="D9" s="28">
        <v>0</v>
      </c>
      <c r="E9" s="28">
        <v>13974</v>
      </c>
      <c r="F9" s="28">
        <v>0</v>
      </c>
      <c r="G9" s="29">
        <v>13974</v>
      </c>
    </row>
    <row r="10" spans="2:7" x14ac:dyDescent="0.2">
      <c r="B10" s="4" t="s">
        <v>26</v>
      </c>
      <c r="C10" s="28">
        <v>80494.5</v>
      </c>
      <c r="D10" s="28">
        <v>92026.55</v>
      </c>
      <c r="E10" s="28">
        <v>4532</v>
      </c>
      <c r="F10" s="28">
        <v>23338</v>
      </c>
      <c r="G10" s="29">
        <v>200391.05</v>
      </c>
    </row>
    <row r="11" spans="2:7" x14ac:dyDescent="0.2">
      <c r="B11" s="16" t="s">
        <v>27</v>
      </c>
      <c r="C11" s="29">
        <v>147081.57</v>
      </c>
      <c r="D11" s="29">
        <v>157618.16</v>
      </c>
      <c r="E11" s="29">
        <v>40083</v>
      </c>
      <c r="F11" s="29">
        <v>24418</v>
      </c>
      <c r="G11" s="29">
        <v>369200.73</v>
      </c>
    </row>
    <row r="14" spans="2:7" x14ac:dyDescent="0.2">
      <c r="B14" s="11" t="s">
        <v>95</v>
      </c>
      <c r="C14" s="12"/>
      <c r="D14" s="12"/>
      <c r="E14" s="12"/>
      <c r="F14" s="12"/>
      <c r="G14" s="11"/>
    </row>
    <row r="15" spans="2:7" x14ac:dyDescent="0.2">
      <c r="B15" s="11" t="s">
        <v>94</v>
      </c>
      <c r="C15" s="12"/>
      <c r="D15" s="12"/>
      <c r="E15" s="12"/>
      <c r="F15" s="12"/>
      <c r="G15" s="11"/>
    </row>
  </sheetData>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1AD7E-48BF-464D-A83E-DACED0D45E25}">
  <dimension ref="B1:G15"/>
  <sheetViews>
    <sheetView workbookViewId="0">
      <selection activeCell="B1" sqref="B1"/>
    </sheetView>
  </sheetViews>
  <sheetFormatPr baseColWidth="10" defaultColWidth="11" defaultRowHeight="16" x14ac:dyDescent="0.2"/>
  <cols>
    <col min="2" max="2" width="21.33203125" customWidth="1"/>
    <col min="3" max="4" width="14.5" style="1" customWidth="1"/>
    <col min="5" max="5" width="14.6640625" style="1" customWidth="1"/>
    <col min="6" max="6" width="14.5" style="1" customWidth="1"/>
  </cols>
  <sheetData>
    <row r="1" spans="2:7" ht="24" x14ac:dyDescent="0.3">
      <c r="B1" s="8" t="s">
        <v>824</v>
      </c>
    </row>
    <row r="3" spans="2:7" x14ac:dyDescent="0.2">
      <c r="B3" t="s">
        <v>28</v>
      </c>
      <c r="C3" s="15" t="s">
        <v>19</v>
      </c>
      <c r="D3" s="15" t="s">
        <v>20</v>
      </c>
      <c r="E3" s="15" t="s">
        <v>12</v>
      </c>
      <c r="F3" s="15" t="s">
        <v>17</v>
      </c>
      <c r="G3" s="37" t="s">
        <v>80</v>
      </c>
    </row>
    <row r="4" spans="2:7" x14ac:dyDescent="0.2">
      <c r="B4" s="4" t="s">
        <v>100</v>
      </c>
      <c r="C4" s="28">
        <v>11.26</v>
      </c>
      <c r="D4" s="28">
        <v>112.9</v>
      </c>
      <c r="E4" s="28">
        <v>0</v>
      </c>
      <c r="F4" s="28">
        <v>0</v>
      </c>
      <c r="G4" s="29">
        <v>124.19</v>
      </c>
    </row>
    <row r="5" spans="2:7" x14ac:dyDescent="0.2">
      <c r="B5" s="4" t="s">
        <v>16</v>
      </c>
      <c r="C5" s="28">
        <v>0</v>
      </c>
      <c r="D5" s="28">
        <v>125.23</v>
      </c>
      <c r="E5" s="28">
        <v>0</v>
      </c>
      <c r="F5" s="28">
        <v>0</v>
      </c>
      <c r="G5" s="29">
        <v>125.23</v>
      </c>
    </row>
    <row r="6" spans="2:7" x14ac:dyDescent="0.2">
      <c r="B6" s="4" t="s">
        <v>22</v>
      </c>
      <c r="C6" s="28">
        <v>5</v>
      </c>
      <c r="D6" s="28">
        <v>35.200000000000003</v>
      </c>
      <c r="E6" s="28">
        <v>0</v>
      </c>
      <c r="F6" s="28">
        <v>0</v>
      </c>
      <c r="G6" s="29">
        <v>40.200000000000003</v>
      </c>
    </row>
    <row r="7" spans="2:7" x14ac:dyDescent="0.2">
      <c r="B7" s="4" t="s">
        <v>23</v>
      </c>
      <c r="C7" s="28">
        <v>0</v>
      </c>
      <c r="D7" s="28">
        <v>30</v>
      </c>
      <c r="E7" s="28">
        <v>0</v>
      </c>
      <c r="F7" s="28">
        <v>0</v>
      </c>
      <c r="G7" s="29">
        <v>30</v>
      </c>
    </row>
    <row r="8" spans="2:7" x14ac:dyDescent="0.2">
      <c r="B8" s="4" t="s">
        <v>24</v>
      </c>
      <c r="C8" s="28">
        <v>16.8</v>
      </c>
      <c r="D8" s="28">
        <v>181.9</v>
      </c>
      <c r="E8" s="28">
        <v>22</v>
      </c>
      <c r="F8" s="28">
        <v>0</v>
      </c>
      <c r="G8" s="29">
        <v>220.7</v>
      </c>
    </row>
    <row r="9" spans="2:7" x14ac:dyDescent="0.2">
      <c r="B9" s="4" t="s">
        <v>25</v>
      </c>
      <c r="C9" s="28">
        <v>0</v>
      </c>
      <c r="D9" s="28">
        <v>0</v>
      </c>
      <c r="E9" s="28">
        <v>0</v>
      </c>
      <c r="F9" s="28">
        <v>0</v>
      </c>
      <c r="G9" s="29">
        <v>0</v>
      </c>
    </row>
    <row r="10" spans="2:7" x14ac:dyDescent="0.2">
      <c r="B10" s="4" t="s">
        <v>26</v>
      </c>
      <c r="C10" s="28">
        <v>18489.2</v>
      </c>
      <c r="D10" s="28">
        <v>23278</v>
      </c>
      <c r="E10" s="28">
        <v>4532</v>
      </c>
      <c r="F10" s="28">
        <v>13907</v>
      </c>
      <c r="G10" s="29">
        <v>60206.2</v>
      </c>
    </row>
    <row r="11" spans="2:7" x14ac:dyDescent="0.2">
      <c r="B11" s="16" t="s">
        <v>27</v>
      </c>
      <c r="C11" s="29">
        <v>18522.259999999998</v>
      </c>
      <c r="D11" s="29">
        <v>23763.23</v>
      </c>
      <c r="E11" s="29">
        <v>4554</v>
      </c>
      <c r="F11" s="29">
        <v>13907</v>
      </c>
      <c r="G11" s="29">
        <v>60746.52</v>
      </c>
    </row>
    <row r="14" spans="2:7" x14ac:dyDescent="0.2">
      <c r="B14" s="11" t="s">
        <v>95</v>
      </c>
      <c r="C14" s="12"/>
      <c r="D14" s="12"/>
      <c r="E14" s="12"/>
      <c r="F14" s="12"/>
      <c r="G14" s="11"/>
    </row>
    <row r="15" spans="2:7" x14ac:dyDescent="0.2">
      <c r="B15" s="11" t="s">
        <v>94</v>
      </c>
      <c r="C15" s="12"/>
      <c r="D15" s="12"/>
      <c r="E15" s="12"/>
      <c r="F15" s="12"/>
      <c r="G15" s="11"/>
    </row>
  </sheetData>
  <phoneticPr fontId="5" type="noConversion"/>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B4D78-9A60-E14F-A41D-55949195C447}">
  <dimension ref="B1:I20"/>
  <sheetViews>
    <sheetView workbookViewId="0">
      <selection activeCell="G10" sqref="G10"/>
    </sheetView>
  </sheetViews>
  <sheetFormatPr baseColWidth="10" defaultRowHeight="16" x14ac:dyDescent="0.2"/>
  <cols>
    <col min="2" max="2" width="14.83203125" customWidth="1"/>
    <col min="3" max="3" width="14.6640625" bestFit="1" customWidth="1"/>
    <col min="4" max="4" width="22.5" bestFit="1" customWidth="1"/>
    <col min="5" max="5" width="18.83203125" bestFit="1" customWidth="1"/>
    <col min="6" max="6" width="14.33203125" bestFit="1" customWidth="1"/>
    <col min="7" max="7" width="15.1640625" bestFit="1" customWidth="1"/>
    <col min="8" max="8" width="13.5" bestFit="1" customWidth="1"/>
    <col min="9" max="9" width="10.6640625" bestFit="1" customWidth="1"/>
  </cols>
  <sheetData>
    <row r="1" spans="2:9" ht="24" x14ac:dyDescent="0.3">
      <c r="B1" s="8" t="s">
        <v>695</v>
      </c>
    </row>
    <row r="3" spans="2:9" x14ac:dyDescent="0.2">
      <c r="B3" s="6" t="s">
        <v>18</v>
      </c>
      <c r="C3" s="6" t="s">
        <v>691</v>
      </c>
      <c r="D3" s="6" t="s">
        <v>692</v>
      </c>
      <c r="E3" s="6" t="s">
        <v>693</v>
      </c>
      <c r="F3" s="6" t="s">
        <v>176</v>
      </c>
      <c r="G3" s="6" t="s">
        <v>177</v>
      </c>
      <c r="H3" s="6" t="s">
        <v>179</v>
      </c>
      <c r="I3" s="6" t="s">
        <v>694</v>
      </c>
    </row>
    <row r="4" spans="2:9" x14ac:dyDescent="0.2">
      <c r="B4" s="6" t="s">
        <v>5</v>
      </c>
      <c r="C4" s="6">
        <v>5.5</v>
      </c>
      <c r="D4" s="6">
        <v>0</v>
      </c>
      <c r="E4" s="6">
        <v>0</v>
      </c>
      <c r="F4" s="6">
        <v>0</v>
      </c>
      <c r="G4" s="6">
        <v>0</v>
      </c>
      <c r="H4" s="6">
        <v>25</v>
      </c>
      <c r="I4" s="38">
        <v>30.7</v>
      </c>
    </row>
    <row r="5" spans="2:9" x14ac:dyDescent="0.2">
      <c r="B5" s="6" t="s">
        <v>45</v>
      </c>
      <c r="C5" s="6">
        <v>2</v>
      </c>
      <c r="D5" s="6">
        <v>35</v>
      </c>
      <c r="E5" s="6">
        <v>25.2</v>
      </c>
      <c r="F5" s="6">
        <v>30</v>
      </c>
      <c r="G5" s="6">
        <v>28.5</v>
      </c>
      <c r="H5" s="6">
        <v>506</v>
      </c>
      <c r="I5" s="38">
        <v>627</v>
      </c>
    </row>
    <row r="6" spans="2:9" x14ac:dyDescent="0.2">
      <c r="B6" s="6" t="s">
        <v>47</v>
      </c>
      <c r="C6" s="6">
        <v>5</v>
      </c>
      <c r="D6" s="6">
        <v>0</v>
      </c>
      <c r="E6" s="6">
        <v>0</v>
      </c>
      <c r="F6" s="6">
        <v>0</v>
      </c>
      <c r="G6" s="6">
        <v>16.8</v>
      </c>
      <c r="H6" s="94">
        <v>2500</v>
      </c>
      <c r="I6" s="95">
        <v>2522</v>
      </c>
    </row>
    <row r="7" spans="2:9" x14ac:dyDescent="0.2">
      <c r="B7" s="6" t="s">
        <v>43</v>
      </c>
      <c r="C7" s="6">
        <v>5.9</v>
      </c>
      <c r="D7" s="6">
        <v>88</v>
      </c>
      <c r="E7" s="6">
        <v>10</v>
      </c>
      <c r="F7" s="6">
        <v>0</v>
      </c>
      <c r="G7" s="6">
        <v>0</v>
      </c>
      <c r="H7" s="6">
        <v>6</v>
      </c>
      <c r="I7" s="38">
        <v>110</v>
      </c>
    </row>
    <row r="8" spans="2:9" x14ac:dyDescent="0.2">
      <c r="B8" s="6" t="s">
        <v>14</v>
      </c>
      <c r="C8" s="6">
        <v>25</v>
      </c>
      <c r="D8" s="6">
        <v>0</v>
      </c>
      <c r="E8" s="6">
        <v>0</v>
      </c>
      <c r="F8" s="6">
        <v>0</v>
      </c>
      <c r="G8" s="6">
        <v>0</v>
      </c>
      <c r="H8" s="6">
        <v>0</v>
      </c>
      <c r="I8" s="38">
        <v>25</v>
      </c>
    </row>
    <row r="9" spans="2:9" x14ac:dyDescent="0.2">
      <c r="B9" s="6" t="s">
        <v>11</v>
      </c>
      <c r="C9" s="6">
        <v>80</v>
      </c>
      <c r="D9" s="6">
        <v>0</v>
      </c>
      <c r="E9" s="6">
        <v>0</v>
      </c>
      <c r="F9" s="6">
        <v>0</v>
      </c>
      <c r="G9" s="6">
        <v>110</v>
      </c>
      <c r="H9" s="94">
        <v>8890</v>
      </c>
      <c r="I9" s="95">
        <v>9176</v>
      </c>
    </row>
    <row r="10" spans="2:9" x14ac:dyDescent="0.2">
      <c r="B10" s="6" t="s">
        <v>44</v>
      </c>
      <c r="C10" s="6">
        <v>0</v>
      </c>
      <c r="D10" s="6">
        <v>2</v>
      </c>
      <c r="E10" s="6">
        <v>0</v>
      </c>
      <c r="F10" s="6">
        <v>0</v>
      </c>
      <c r="G10" s="6">
        <v>33</v>
      </c>
      <c r="H10" s="94">
        <v>2332</v>
      </c>
      <c r="I10" s="95">
        <v>2367</v>
      </c>
    </row>
    <row r="11" spans="2:9" x14ac:dyDescent="0.2">
      <c r="B11" s="6" t="s">
        <v>46</v>
      </c>
      <c r="C11" s="6">
        <v>0</v>
      </c>
      <c r="D11" s="6">
        <v>0</v>
      </c>
      <c r="E11" s="6">
        <v>5</v>
      </c>
      <c r="F11" s="6"/>
      <c r="G11" s="6">
        <v>0</v>
      </c>
      <c r="H11" s="94">
        <v>9664</v>
      </c>
      <c r="I11" s="95">
        <v>9669</v>
      </c>
    </row>
    <row r="12" spans="2:9" x14ac:dyDescent="0.2">
      <c r="B12" s="6" t="s">
        <v>41</v>
      </c>
      <c r="C12" s="6">
        <v>0</v>
      </c>
      <c r="D12" s="6">
        <v>0</v>
      </c>
      <c r="E12" s="6">
        <v>0</v>
      </c>
      <c r="F12" s="6">
        <v>0</v>
      </c>
      <c r="G12" s="6">
        <v>10</v>
      </c>
      <c r="H12" s="94">
        <v>6550</v>
      </c>
      <c r="I12" s="95">
        <v>5760</v>
      </c>
    </row>
    <row r="13" spans="2:9" x14ac:dyDescent="0.2">
      <c r="B13" s="6" t="s">
        <v>12</v>
      </c>
      <c r="C13" s="6">
        <v>0</v>
      </c>
      <c r="D13" s="6">
        <v>0</v>
      </c>
      <c r="E13" s="6">
        <v>0</v>
      </c>
      <c r="F13" s="6">
        <v>0</v>
      </c>
      <c r="G13" s="6">
        <v>22</v>
      </c>
      <c r="H13" s="94">
        <v>4532</v>
      </c>
      <c r="I13" s="95">
        <v>4554</v>
      </c>
    </row>
    <row r="14" spans="2:9" x14ac:dyDescent="0.2">
      <c r="B14" s="6" t="s">
        <v>225</v>
      </c>
      <c r="C14" s="6">
        <v>0</v>
      </c>
      <c r="D14" s="6">
        <v>0</v>
      </c>
      <c r="E14" s="6">
        <v>0</v>
      </c>
      <c r="F14" s="6">
        <v>0</v>
      </c>
      <c r="G14" s="6">
        <v>0</v>
      </c>
      <c r="H14" s="94">
        <v>7400</v>
      </c>
      <c r="I14" s="95">
        <v>7400</v>
      </c>
    </row>
    <row r="15" spans="2:9" x14ac:dyDescent="0.2">
      <c r="B15" s="6" t="s">
        <v>102</v>
      </c>
      <c r="C15" s="6">
        <v>0</v>
      </c>
      <c r="D15" s="6">
        <v>0</v>
      </c>
      <c r="E15" s="6">
        <v>0</v>
      </c>
      <c r="F15" s="6">
        <v>0</v>
      </c>
      <c r="G15" s="6">
        <v>0</v>
      </c>
      <c r="H15" s="94">
        <v>6507</v>
      </c>
      <c r="I15" s="95">
        <v>6507</v>
      </c>
    </row>
    <row r="16" spans="2:9" x14ac:dyDescent="0.2">
      <c r="B16" s="6" t="s">
        <v>13</v>
      </c>
      <c r="C16" s="6">
        <v>0</v>
      </c>
      <c r="D16" s="6">
        <v>0</v>
      </c>
      <c r="E16" s="6">
        <v>0</v>
      </c>
      <c r="F16" s="6">
        <v>0</v>
      </c>
      <c r="G16" s="6">
        <v>0</v>
      </c>
      <c r="H16" s="94">
        <v>2793</v>
      </c>
      <c r="I16" s="95">
        <v>2793</v>
      </c>
    </row>
    <row r="17" spans="2:9" x14ac:dyDescent="0.2">
      <c r="B17" s="6" t="s">
        <v>158</v>
      </c>
      <c r="C17" s="6">
        <v>0</v>
      </c>
      <c r="D17" s="6">
        <v>0</v>
      </c>
      <c r="E17" s="6">
        <v>0</v>
      </c>
      <c r="F17" s="6">
        <v>0</v>
      </c>
      <c r="G17" s="6">
        <v>0</v>
      </c>
      <c r="H17" s="6">
        <v>500</v>
      </c>
      <c r="I17" s="38">
        <v>500</v>
      </c>
    </row>
    <row r="18" spans="2:9" x14ac:dyDescent="0.2">
      <c r="B18" s="6" t="s">
        <v>42</v>
      </c>
      <c r="C18" s="6">
        <v>0</v>
      </c>
      <c r="D18" s="6">
        <v>0</v>
      </c>
      <c r="E18" s="6">
        <v>0</v>
      </c>
      <c r="F18" s="6">
        <v>0</v>
      </c>
      <c r="G18" s="6">
        <v>0</v>
      </c>
      <c r="H18" s="94">
        <v>2200</v>
      </c>
      <c r="I18" s="95">
        <v>2200</v>
      </c>
    </row>
    <row r="19" spans="2:9" x14ac:dyDescent="0.2">
      <c r="B19" s="6" t="s">
        <v>48</v>
      </c>
      <c r="C19" s="6">
        <v>0</v>
      </c>
      <c r="D19" s="6">
        <v>0</v>
      </c>
      <c r="E19" s="6">
        <v>0</v>
      </c>
      <c r="F19" s="6">
        <v>0</v>
      </c>
      <c r="G19" s="6">
        <v>0</v>
      </c>
      <c r="H19" s="94">
        <v>5800</v>
      </c>
      <c r="I19" s="95">
        <v>5800</v>
      </c>
    </row>
    <row r="20" spans="2:9" x14ac:dyDescent="0.2">
      <c r="B20" s="38" t="s">
        <v>80</v>
      </c>
      <c r="C20" s="38">
        <v>123.4</v>
      </c>
      <c r="D20" s="38">
        <v>125</v>
      </c>
      <c r="E20" s="38">
        <v>40</v>
      </c>
      <c r="F20" s="38">
        <v>30</v>
      </c>
      <c r="G20" s="38">
        <v>317</v>
      </c>
      <c r="H20" s="95">
        <v>60205</v>
      </c>
      <c r="I20" s="95">
        <v>60841</v>
      </c>
    </row>
  </sheetData>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M50"/>
  <sheetViews>
    <sheetView zoomScaleNormal="100" workbookViewId="0">
      <selection activeCell="B2" sqref="B2"/>
    </sheetView>
  </sheetViews>
  <sheetFormatPr baseColWidth="10" defaultColWidth="11" defaultRowHeight="16" x14ac:dyDescent="0.2"/>
  <cols>
    <col min="2" max="2" width="22.6640625" style="3" customWidth="1"/>
  </cols>
  <sheetData>
    <row r="1" spans="2:39" ht="24" x14ac:dyDescent="0.3">
      <c r="B1" s="7" t="s">
        <v>825</v>
      </c>
    </row>
    <row r="2" spans="2:39" ht="17" thickBot="1" x14ac:dyDescent="0.25"/>
    <row r="3" spans="2:39" x14ac:dyDescent="0.2">
      <c r="B3" s="119" t="s">
        <v>49</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1"/>
    </row>
    <row r="4" spans="2:39" x14ac:dyDescent="0.2">
      <c r="B4" s="6" t="s">
        <v>18</v>
      </c>
      <c r="C4" s="6" t="s">
        <v>696</v>
      </c>
      <c r="D4" s="6" t="s">
        <v>697</v>
      </c>
      <c r="E4" s="6" t="s">
        <v>698</v>
      </c>
      <c r="F4" s="6" t="s">
        <v>699</v>
      </c>
      <c r="G4" s="6" t="s">
        <v>700</v>
      </c>
      <c r="H4" s="6" t="s">
        <v>138</v>
      </c>
      <c r="I4" s="6" t="s">
        <v>139</v>
      </c>
      <c r="J4" s="6" t="s">
        <v>140</v>
      </c>
      <c r="K4" s="6" t="s">
        <v>141</v>
      </c>
      <c r="L4" s="6" t="s">
        <v>142</v>
      </c>
      <c r="M4" s="6" t="s">
        <v>143</v>
      </c>
      <c r="N4" s="6" t="s">
        <v>144</v>
      </c>
      <c r="O4" s="6" t="s">
        <v>145</v>
      </c>
      <c r="P4" s="6" t="s">
        <v>146</v>
      </c>
      <c r="Q4" s="6" t="s">
        <v>147</v>
      </c>
      <c r="R4" s="6" t="s">
        <v>148</v>
      </c>
      <c r="S4" s="6" t="s">
        <v>149</v>
      </c>
      <c r="T4" s="6" t="s">
        <v>150</v>
      </c>
      <c r="U4" s="6" t="s">
        <v>151</v>
      </c>
      <c r="V4" s="6" t="s">
        <v>152</v>
      </c>
      <c r="W4" s="6" t="s">
        <v>153</v>
      </c>
      <c r="X4" s="6" t="s">
        <v>154</v>
      </c>
      <c r="Y4" s="6" t="s">
        <v>155</v>
      </c>
      <c r="Z4" s="6" t="s">
        <v>156</v>
      </c>
      <c r="AA4" s="6" t="s">
        <v>157</v>
      </c>
      <c r="AB4" s="6" t="s">
        <v>127</v>
      </c>
      <c r="AC4" s="6" t="s">
        <v>128</v>
      </c>
      <c r="AD4" s="6" t="s">
        <v>129</v>
      </c>
      <c r="AE4" s="6" t="s">
        <v>130</v>
      </c>
      <c r="AF4" s="6" t="s">
        <v>131</v>
      </c>
      <c r="AG4" s="6" t="s">
        <v>132</v>
      </c>
      <c r="AH4" s="6" t="s">
        <v>133</v>
      </c>
      <c r="AI4" s="6" t="s">
        <v>134</v>
      </c>
      <c r="AJ4" s="6" t="s">
        <v>135</v>
      </c>
      <c r="AK4" s="6" t="s">
        <v>136</v>
      </c>
      <c r="AL4" s="6" t="s">
        <v>137</v>
      </c>
      <c r="AM4" s="6" t="s">
        <v>166</v>
      </c>
    </row>
    <row r="5" spans="2:39" x14ac:dyDescent="0.2">
      <c r="B5" s="6" t="s">
        <v>225</v>
      </c>
      <c r="C5" s="94">
        <v>0</v>
      </c>
      <c r="D5" s="94">
        <v>0</v>
      </c>
      <c r="E5" s="94">
        <v>0</v>
      </c>
      <c r="F5" s="94">
        <v>0</v>
      </c>
      <c r="G5" s="94">
        <v>0</v>
      </c>
      <c r="H5" s="94">
        <v>0</v>
      </c>
      <c r="I5" s="94">
        <v>0</v>
      </c>
      <c r="J5" s="94">
        <v>0</v>
      </c>
      <c r="K5" s="94">
        <v>0</v>
      </c>
      <c r="L5" s="94">
        <v>0</v>
      </c>
      <c r="M5" s="94">
        <v>0</v>
      </c>
      <c r="N5" s="94">
        <v>0</v>
      </c>
      <c r="O5" s="94">
        <v>0</v>
      </c>
      <c r="P5" s="94">
        <v>0</v>
      </c>
      <c r="Q5" s="94">
        <v>0</v>
      </c>
      <c r="R5" s="94">
        <v>0</v>
      </c>
      <c r="S5" s="94">
        <v>0</v>
      </c>
      <c r="T5" s="94">
        <v>0</v>
      </c>
      <c r="U5" s="94">
        <v>0</v>
      </c>
      <c r="V5" s="94">
        <v>0</v>
      </c>
      <c r="W5" s="94">
        <v>0</v>
      </c>
      <c r="X5" s="94">
        <v>0</v>
      </c>
      <c r="Y5" s="94">
        <v>0</v>
      </c>
      <c r="Z5" s="94">
        <v>0</v>
      </c>
      <c r="AA5" s="94">
        <v>0</v>
      </c>
      <c r="AB5" s="94">
        <v>0</v>
      </c>
      <c r="AC5" s="94">
        <v>0</v>
      </c>
      <c r="AD5" s="94">
        <v>0</v>
      </c>
      <c r="AE5" s="94">
        <v>0</v>
      </c>
      <c r="AF5" s="94">
        <v>0</v>
      </c>
      <c r="AG5" s="94">
        <v>0</v>
      </c>
      <c r="AH5" s="94">
        <v>0</v>
      </c>
      <c r="AI5" s="94">
        <v>2200</v>
      </c>
      <c r="AJ5" s="94">
        <v>0</v>
      </c>
      <c r="AK5" s="94">
        <v>0</v>
      </c>
      <c r="AL5" s="94">
        <v>495</v>
      </c>
      <c r="AM5" s="94">
        <v>0</v>
      </c>
    </row>
    <row r="6" spans="2:39" x14ac:dyDescent="0.2">
      <c r="B6" s="6" t="s">
        <v>4</v>
      </c>
      <c r="C6" s="94">
        <v>0</v>
      </c>
      <c r="D6" s="94">
        <v>0</v>
      </c>
      <c r="E6" s="94">
        <v>0</v>
      </c>
      <c r="F6" s="94">
        <v>0</v>
      </c>
      <c r="G6" s="94">
        <v>0</v>
      </c>
      <c r="H6" s="94">
        <v>0</v>
      </c>
      <c r="I6" s="94">
        <v>0</v>
      </c>
      <c r="J6" s="94">
        <v>0</v>
      </c>
      <c r="K6" s="94">
        <v>0</v>
      </c>
      <c r="L6" s="94">
        <v>0</v>
      </c>
      <c r="M6" s="94">
        <v>0</v>
      </c>
      <c r="N6" s="94">
        <v>0</v>
      </c>
      <c r="O6" s="94">
        <v>0</v>
      </c>
      <c r="P6" s="94">
        <v>30</v>
      </c>
      <c r="Q6" s="94">
        <v>165</v>
      </c>
      <c r="R6" s="94">
        <v>184.5</v>
      </c>
      <c r="S6" s="94">
        <v>110.7</v>
      </c>
      <c r="T6" s="94">
        <v>0</v>
      </c>
      <c r="U6" s="94">
        <v>222</v>
      </c>
      <c r="V6" s="94">
        <v>0</v>
      </c>
      <c r="W6" s="94">
        <v>0</v>
      </c>
      <c r="X6" s="94">
        <v>165</v>
      </c>
      <c r="Y6" s="94">
        <v>309</v>
      </c>
      <c r="Z6" s="94">
        <v>369.6</v>
      </c>
      <c r="AA6" s="94">
        <v>706</v>
      </c>
      <c r="AB6" s="94">
        <v>0</v>
      </c>
      <c r="AC6" s="94">
        <v>0</v>
      </c>
      <c r="AD6" s="94">
        <v>0</v>
      </c>
      <c r="AE6" s="94">
        <v>0</v>
      </c>
      <c r="AF6" s="94">
        <v>0</v>
      </c>
      <c r="AG6" s="94">
        <v>0</v>
      </c>
      <c r="AH6" s="94">
        <v>1000</v>
      </c>
      <c r="AI6" s="94">
        <v>2500</v>
      </c>
      <c r="AJ6" s="94">
        <v>0</v>
      </c>
      <c r="AK6" s="94">
        <v>0</v>
      </c>
      <c r="AL6" s="94">
        <v>0</v>
      </c>
      <c r="AM6" s="94">
        <v>0</v>
      </c>
    </row>
    <row r="7" spans="2:39" x14ac:dyDescent="0.2">
      <c r="B7" s="6" t="s">
        <v>5</v>
      </c>
      <c r="C7" s="94">
        <v>0</v>
      </c>
      <c r="D7" s="94">
        <v>0</v>
      </c>
      <c r="E7" s="94">
        <v>0</v>
      </c>
      <c r="F7" s="94">
        <v>0</v>
      </c>
      <c r="G7" s="94">
        <v>0</v>
      </c>
      <c r="H7" s="94">
        <v>0</v>
      </c>
      <c r="I7" s="94">
        <v>0</v>
      </c>
      <c r="J7" s="94">
        <v>0</v>
      </c>
      <c r="K7" s="94">
        <v>0</v>
      </c>
      <c r="L7" s="94">
        <v>0</v>
      </c>
      <c r="M7" s="94">
        <v>0</v>
      </c>
      <c r="N7" s="94">
        <v>0</v>
      </c>
      <c r="O7" s="94">
        <v>0</v>
      </c>
      <c r="P7" s="94">
        <v>0</v>
      </c>
      <c r="Q7" s="94">
        <v>142.5</v>
      </c>
      <c r="R7" s="94">
        <v>2.5</v>
      </c>
      <c r="S7" s="94">
        <v>207.5</v>
      </c>
      <c r="T7" s="94">
        <v>174.2</v>
      </c>
      <c r="U7" s="94">
        <v>0</v>
      </c>
      <c r="V7" s="94">
        <v>296</v>
      </c>
      <c r="W7" s="94">
        <v>804.8</v>
      </c>
      <c r="X7" s="94">
        <v>1174.4000000000001</v>
      </c>
      <c r="Y7" s="94">
        <v>2221.5</v>
      </c>
      <c r="Z7" s="94">
        <v>3130.3</v>
      </c>
      <c r="AA7" s="94">
        <v>5955.4</v>
      </c>
      <c r="AB7" s="94">
        <v>11086</v>
      </c>
      <c r="AC7" s="94">
        <v>4009.6</v>
      </c>
      <c r="AD7" s="94">
        <v>4056</v>
      </c>
      <c r="AE7" s="94">
        <v>5556.2</v>
      </c>
      <c r="AF7" s="94">
        <v>948</v>
      </c>
      <c r="AG7" s="94">
        <v>1000</v>
      </c>
      <c r="AH7" s="94">
        <v>3100</v>
      </c>
      <c r="AI7" s="94">
        <v>4200</v>
      </c>
      <c r="AJ7" s="94">
        <v>4105.2</v>
      </c>
      <c r="AK7" s="94">
        <v>4200</v>
      </c>
      <c r="AL7" s="94">
        <v>4000</v>
      </c>
      <c r="AM7" s="94">
        <v>5100</v>
      </c>
    </row>
    <row r="8" spans="2:39" x14ac:dyDescent="0.2">
      <c r="B8" s="6" t="s">
        <v>6</v>
      </c>
      <c r="C8" s="94">
        <v>5</v>
      </c>
      <c r="D8" s="94">
        <v>0</v>
      </c>
      <c r="E8" s="94">
        <v>0</v>
      </c>
      <c r="F8" s="94">
        <v>0</v>
      </c>
      <c r="G8" s="94">
        <v>0</v>
      </c>
      <c r="H8" s="94">
        <v>40</v>
      </c>
      <c r="I8" s="94">
        <v>0</v>
      </c>
      <c r="J8" s="94">
        <v>376.4</v>
      </c>
      <c r="K8" s="94">
        <v>0</v>
      </c>
      <c r="L8" s="94">
        <v>0</v>
      </c>
      <c r="M8" s="94">
        <v>0</v>
      </c>
      <c r="N8" s="94">
        <v>0</v>
      </c>
      <c r="O8" s="94">
        <v>0</v>
      </c>
      <c r="P8" s="94">
        <v>209.3</v>
      </c>
      <c r="Q8" s="94">
        <v>238.8</v>
      </c>
      <c r="R8" s="94">
        <v>0</v>
      </c>
      <c r="S8" s="94">
        <v>399.6</v>
      </c>
      <c r="T8" s="94">
        <v>0</v>
      </c>
      <c r="U8" s="94">
        <v>0</v>
      </c>
      <c r="V8" s="94">
        <v>0</v>
      </c>
      <c r="W8" s="94">
        <v>0</v>
      </c>
      <c r="X8" s="94">
        <v>0</v>
      </c>
      <c r="Y8" s="94">
        <v>434.7</v>
      </c>
      <c r="Z8" s="94">
        <v>0</v>
      </c>
      <c r="AA8" s="94">
        <v>0</v>
      </c>
      <c r="AB8" s="94">
        <v>605</v>
      </c>
      <c r="AC8" s="94">
        <v>0</v>
      </c>
      <c r="AD8" s="94">
        <v>344</v>
      </c>
      <c r="AE8" s="94">
        <v>0</v>
      </c>
      <c r="AF8" s="94">
        <v>312</v>
      </c>
      <c r="AG8" s="94">
        <v>1160</v>
      </c>
      <c r="AH8" s="94">
        <v>250</v>
      </c>
      <c r="AI8" s="94">
        <v>1200</v>
      </c>
      <c r="AJ8" s="94">
        <v>0</v>
      </c>
      <c r="AK8" s="94">
        <v>1170</v>
      </c>
      <c r="AL8" s="94">
        <v>1830</v>
      </c>
      <c r="AM8" s="94">
        <v>0</v>
      </c>
    </row>
    <row r="9" spans="2:39" x14ac:dyDescent="0.2">
      <c r="B9" s="6" t="s">
        <v>7</v>
      </c>
      <c r="C9" s="94">
        <v>0</v>
      </c>
      <c r="D9" s="94">
        <v>0</v>
      </c>
      <c r="E9" s="94">
        <v>0</v>
      </c>
      <c r="F9" s="94">
        <v>0</v>
      </c>
      <c r="G9" s="94">
        <v>0</v>
      </c>
      <c r="H9" s="94">
        <v>0</v>
      </c>
      <c r="I9" s="94">
        <v>0</v>
      </c>
      <c r="J9" s="94">
        <v>0</v>
      </c>
      <c r="K9" s="94">
        <v>0</v>
      </c>
      <c r="L9" s="94">
        <v>4.5</v>
      </c>
      <c r="M9" s="94">
        <v>0</v>
      </c>
      <c r="N9" s="94">
        <v>2.5</v>
      </c>
      <c r="O9" s="94">
        <v>0</v>
      </c>
      <c r="P9" s="94">
        <v>60</v>
      </c>
      <c r="Q9" s="94">
        <v>0</v>
      </c>
      <c r="R9" s="94">
        <v>448.3</v>
      </c>
      <c r="S9" s="94">
        <v>200</v>
      </c>
      <c r="T9" s="94">
        <v>1091.2</v>
      </c>
      <c r="U9" s="94">
        <v>1190</v>
      </c>
      <c r="V9" s="94">
        <v>288</v>
      </c>
      <c r="W9" s="94">
        <v>1202.0999999999999</v>
      </c>
      <c r="X9" s="94">
        <v>862.7</v>
      </c>
      <c r="Y9" s="94">
        <v>781</v>
      </c>
      <c r="Z9" s="94">
        <v>1402</v>
      </c>
      <c r="AA9" s="94">
        <v>112</v>
      </c>
      <c r="AB9" s="94">
        <v>0</v>
      </c>
      <c r="AC9" s="94">
        <v>0</v>
      </c>
      <c r="AD9" s="94">
        <v>599</v>
      </c>
      <c r="AE9" s="94">
        <v>1627.75</v>
      </c>
      <c r="AF9" s="94">
        <v>900</v>
      </c>
      <c r="AG9" s="94">
        <v>1128</v>
      </c>
      <c r="AH9" s="94">
        <v>930</v>
      </c>
      <c r="AI9" s="94">
        <v>900</v>
      </c>
      <c r="AJ9" s="94">
        <v>2900</v>
      </c>
      <c r="AK9" s="94">
        <v>3700</v>
      </c>
      <c r="AL9" s="94">
        <v>0</v>
      </c>
      <c r="AM9" s="94">
        <v>6000</v>
      </c>
    </row>
    <row r="10" spans="2:39" x14ac:dyDescent="0.2">
      <c r="B10" s="6" t="s">
        <v>47</v>
      </c>
      <c r="C10" s="94">
        <v>0</v>
      </c>
      <c r="D10" s="94">
        <v>0</v>
      </c>
      <c r="E10" s="94">
        <v>0</v>
      </c>
      <c r="F10" s="94">
        <v>0</v>
      </c>
      <c r="G10" s="94">
        <v>0</v>
      </c>
      <c r="H10" s="94">
        <v>0</v>
      </c>
      <c r="I10" s="94">
        <v>0</v>
      </c>
      <c r="J10" s="94">
        <v>0</v>
      </c>
      <c r="K10" s="94">
        <v>11.32</v>
      </c>
      <c r="L10" s="94">
        <v>0</v>
      </c>
      <c r="M10" s="94">
        <v>0</v>
      </c>
      <c r="N10" s="94">
        <v>0</v>
      </c>
      <c r="O10" s="94">
        <v>0</v>
      </c>
      <c r="P10" s="94">
        <v>0</v>
      </c>
      <c r="Q10" s="94">
        <v>14</v>
      </c>
      <c r="R10" s="94">
        <v>0</v>
      </c>
      <c r="S10" s="94">
        <v>6.0000000000000001E-3</v>
      </c>
      <c r="T10" s="94">
        <v>18.399999999999999</v>
      </c>
      <c r="U10" s="94">
        <v>0</v>
      </c>
      <c r="V10" s="94">
        <v>0</v>
      </c>
      <c r="W10" s="94">
        <v>0</v>
      </c>
      <c r="X10" s="94">
        <v>2</v>
      </c>
      <c r="Y10" s="94">
        <v>3</v>
      </c>
      <c r="Z10" s="94">
        <v>0</v>
      </c>
      <c r="AA10" s="94">
        <v>0</v>
      </c>
      <c r="AB10" s="94">
        <v>0</v>
      </c>
      <c r="AC10" s="94">
        <v>138.6</v>
      </c>
      <c r="AD10" s="94">
        <v>0</v>
      </c>
      <c r="AE10" s="94">
        <v>0</v>
      </c>
      <c r="AF10" s="94">
        <v>220</v>
      </c>
      <c r="AG10" s="94">
        <v>303.99</v>
      </c>
      <c r="AH10" s="94">
        <v>0</v>
      </c>
      <c r="AI10" s="94">
        <v>871</v>
      </c>
      <c r="AJ10" s="94">
        <v>1179</v>
      </c>
      <c r="AK10" s="94">
        <v>1779.5</v>
      </c>
      <c r="AL10" s="94">
        <v>1950</v>
      </c>
      <c r="AM10" s="94">
        <v>1000</v>
      </c>
    </row>
    <row r="11" spans="2:39" x14ac:dyDescent="0.2">
      <c r="B11" s="6" t="s">
        <v>8</v>
      </c>
      <c r="C11" s="94">
        <v>0</v>
      </c>
      <c r="D11" s="94">
        <v>16.8</v>
      </c>
      <c r="E11" s="94">
        <v>0</v>
      </c>
      <c r="F11" s="94">
        <v>0</v>
      </c>
      <c r="G11" s="94">
        <v>0</v>
      </c>
      <c r="H11" s="94">
        <v>0</v>
      </c>
      <c r="I11" s="94">
        <v>0</v>
      </c>
      <c r="J11" s="94">
        <v>0</v>
      </c>
      <c r="K11" s="94">
        <v>0</v>
      </c>
      <c r="L11" s="94">
        <v>0</v>
      </c>
      <c r="M11" s="94">
        <v>0</v>
      </c>
      <c r="N11" s="94">
        <v>228</v>
      </c>
      <c r="O11" s="94">
        <v>0</v>
      </c>
      <c r="P11" s="94">
        <v>0</v>
      </c>
      <c r="Q11" s="94">
        <v>0</v>
      </c>
      <c r="R11" s="94">
        <v>0</v>
      </c>
      <c r="S11" s="94">
        <v>0</v>
      </c>
      <c r="T11" s="94">
        <v>0</v>
      </c>
      <c r="U11" s="94">
        <v>0</v>
      </c>
      <c r="V11" s="94">
        <v>129</v>
      </c>
      <c r="W11" s="94">
        <v>744</v>
      </c>
      <c r="X11" s="94">
        <v>0</v>
      </c>
      <c r="Y11" s="94">
        <v>0</v>
      </c>
      <c r="Z11" s="94">
        <v>0</v>
      </c>
      <c r="AA11" s="94">
        <v>731.5</v>
      </c>
      <c r="AB11" s="94">
        <v>1153.7</v>
      </c>
      <c r="AC11" s="94">
        <v>1540</v>
      </c>
      <c r="AD11" s="94">
        <v>759</v>
      </c>
      <c r="AE11" s="94">
        <v>0</v>
      </c>
      <c r="AF11" s="94">
        <v>1520</v>
      </c>
      <c r="AG11" s="94">
        <v>0</v>
      </c>
      <c r="AH11" s="94">
        <v>0</v>
      </c>
      <c r="AI11" s="94">
        <v>2000</v>
      </c>
      <c r="AJ11" s="94">
        <v>2000</v>
      </c>
      <c r="AK11" s="94">
        <v>3400</v>
      </c>
      <c r="AL11" s="94">
        <v>7500</v>
      </c>
      <c r="AM11" s="94">
        <v>7500</v>
      </c>
    </row>
    <row r="12" spans="2:39" x14ac:dyDescent="0.2">
      <c r="B12" s="6" t="s">
        <v>101</v>
      </c>
      <c r="C12" s="94">
        <v>0</v>
      </c>
      <c r="D12" s="94">
        <v>0</v>
      </c>
      <c r="E12" s="94">
        <v>0</v>
      </c>
      <c r="F12" s="94">
        <v>0</v>
      </c>
      <c r="G12" s="94">
        <v>0</v>
      </c>
      <c r="H12" s="94">
        <v>0</v>
      </c>
      <c r="I12" s="94">
        <v>0</v>
      </c>
      <c r="J12" s="94">
        <v>0</v>
      </c>
      <c r="K12" s="94">
        <v>0</v>
      </c>
      <c r="L12" s="94">
        <v>0</v>
      </c>
      <c r="M12" s="94">
        <v>0</v>
      </c>
      <c r="N12" s="94">
        <v>0</v>
      </c>
      <c r="O12" s="94">
        <v>0</v>
      </c>
      <c r="P12" s="94">
        <v>0</v>
      </c>
      <c r="Q12" s="94">
        <v>0</v>
      </c>
      <c r="R12" s="94">
        <v>0</v>
      </c>
      <c r="S12" s="94">
        <v>0</v>
      </c>
      <c r="T12" s="94">
        <v>0</v>
      </c>
      <c r="U12" s="94">
        <v>0</v>
      </c>
      <c r="V12" s="94">
        <v>0</v>
      </c>
      <c r="W12" s="94">
        <v>0</v>
      </c>
      <c r="X12" s="94">
        <v>0</v>
      </c>
      <c r="Y12" s="94">
        <v>0</v>
      </c>
      <c r="Z12" s="94">
        <v>0</v>
      </c>
      <c r="AA12" s="94">
        <v>0</v>
      </c>
      <c r="AB12" s="94">
        <v>0</v>
      </c>
      <c r="AC12" s="94">
        <v>0</v>
      </c>
      <c r="AD12" s="94">
        <v>0</v>
      </c>
      <c r="AE12" s="94">
        <v>0</v>
      </c>
      <c r="AF12" s="94">
        <v>0</v>
      </c>
      <c r="AG12" s="94">
        <v>0</v>
      </c>
      <c r="AH12" s="94">
        <v>600</v>
      </c>
      <c r="AI12" s="94">
        <v>1656</v>
      </c>
      <c r="AJ12" s="94">
        <v>0</v>
      </c>
      <c r="AK12" s="94">
        <v>0</v>
      </c>
      <c r="AL12" s="94">
        <v>0</v>
      </c>
      <c r="AM12" s="94">
        <v>0</v>
      </c>
    </row>
    <row r="13" spans="2:39" x14ac:dyDescent="0.2">
      <c r="B13" s="6" t="s">
        <v>9</v>
      </c>
      <c r="C13" s="94">
        <v>0</v>
      </c>
      <c r="D13" s="94">
        <v>0</v>
      </c>
      <c r="E13" s="94">
        <v>0</v>
      </c>
      <c r="F13" s="94">
        <v>0</v>
      </c>
      <c r="G13" s="94">
        <v>0</v>
      </c>
      <c r="H13" s="94">
        <v>0</v>
      </c>
      <c r="I13" s="94">
        <v>0</v>
      </c>
      <c r="J13" s="94">
        <v>0</v>
      </c>
      <c r="K13" s="94">
        <v>0</v>
      </c>
      <c r="L13" s="94">
        <v>0</v>
      </c>
      <c r="M13" s="94">
        <v>0</v>
      </c>
      <c r="N13" s="94">
        <v>0</v>
      </c>
      <c r="O13" s="94">
        <v>0</v>
      </c>
      <c r="P13" s="94">
        <v>0</v>
      </c>
      <c r="Q13" s="94">
        <v>0</v>
      </c>
      <c r="R13" s="94">
        <v>0</v>
      </c>
      <c r="S13" s="94">
        <v>0</v>
      </c>
      <c r="T13" s="94">
        <v>0</v>
      </c>
      <c r="U13" s="94">
        <v>0</v>
      </c>
      <c r="V13" s="94">
        <v>0</v>
      </c>
      <c r="W13" s="94">
        <v>30</v>
      </c>
      <c r="X13" s="94">
        <v>11</v>
      </c>
      <c r="Y13" s="94">
        <v>60</v>
      </c>
      <c r="Z13" s="94">
        <v>0</v>
      </c>
      <c r="AA13" s="94">
        <v>120.75</v>
      </c>
      <c r="AB13" s="94">
        <v>749.2</v>
      </c>
      <c r="AC13" s="94">
        <v>1866.7</v>
      </c>
      <c r="AD13" s="94">
        <v>13</v>
      </c>
      <c r="AE13" s="94">
        <v>1248</v>
      </c>
      <c r="AF13" s="94">
        <v>1956.9</v>
      </c>
      <c r="AG13" s="94">
        <v>1896</v>
      </c>
      <c r="AH13" s="94">
        <v>3652.5</v>
      </c>
      <c r="AI13" s="94">
        <v>3520</v>
      </c>
      <c r="AJ13" s="94">
        <v>6955.2</v>
      </c>
      <c r="AK13" s="94">
        <v>2500</v>
      </c>
      <c r="AL13" s="94">
        <v>2000</v>
      </c>
      <c r="AM13" s="94">
        <v>4120</v>
      </c>
    </row>
    <row r="14" spans="2:39" x14ac:dyDescent="0.2">
      <c r="B14" s="6" t="s">
        <v>10</v>
      </c>
      <c r="C14" s="94">
        <v>0</v>
      </c>
      <c r="D14" s="94">
        <v>0</v>
      </c>
      <c r="E14" s="94">
        <v>0</v>
      </c>
      <c r="F14" s="94">
        <v>0</v>
      </c>
      <c r="G14" s="94">
        <v>0</v>
      </c>
      <c r="H14" s="94">
        <v>0</v>
      </c>
      <c r="I14" s="94">
        <v>0</v>
      </c>
      <c r="J14" s="94">
        <v>0</v>
      </c>
      <c r="K14" s="94">
        <v>25.2</v>
      </c>
      <c r="L14" s="94">
        <v>0</v>
      </c>
      <c r="M14" s="94">
        <v>0</v>
      </c>
      <c r="N14" s="94">
        <v>0</v>
      </c>
      <c r="O14" s="94">
        <v>0</v>
      </c>
      <c r="P14" s="94">
        <v>0</v>
      </c>
      <c r="Q14" s="94">
        <v>2.2999999999999998</v>
      </c>
      <c r="R14" s="94">
        <v>2.2999999999999998</v>
      </c>
      <c r="S14" s="94">
        <v>0</v>
      </c>
      <c r="T14" s="94">
        <v>0</v>
      </c>
      <c r="U14" s="94">
        <v>0</v>
      </c>
      <c r="V14" s="94">
        <v>0</v>
      </c>
      <c r="W14" s="94">
        <v>0</v>
      </c>
      <c r="X14" s="94">
        <v>26.4</v>
      </c>
      <c r="Y14" s="94">
        <v>44</v>
      </c>
      <c r="Z14" s="94">
        <v>5</v>
      </c>
      <c r="AA14" s="94">
        <v>25</v>
      </c>
      <c r="AB14" s="94">
        <v>0</v>
      </c>
      <c r="AC14" s="94">
        <v>1009.825</v>
      </c>
      <c r="AD14" s="94">
        <v>1171.7</v>
      </c>
      <c r="AE14" s="94">
        <v>904</v>
      </c>
      <c r="AF14" s="94">
        <v>2457</v>
      </c>
      <c r="AG14" s="94">
        <v>3588.5</v>
      </c>
      <c r="AH14" s="94">
        <v>2598</v>
      </c>
      <c r="AI14" s="94">
        <v>3947.9</v>
      </c>
      <c r="AJ14" s="94">
        <v>5214.8999999999996</v>
      </c>
      <c r="AK14" s="94">
        <v>4150</v>
      </c>
      <c r="AL14" s="94">
        <v>4344</v>
      </c>
      <c r="AM14" s="94">
        <v>3931.15</v>
      </c>
    </row>
    <row r="15" spans="2:39" x14ac:dyDescent="0.2">
      <c r="B15" s="6" t="s">
        <v>42</v>
      </c>
      <c r="C15" s="94">
        <v>0</v>
      </c>
      <c r="D15" s="94">
        <v>0</v>
      </c>
      <c r="E15" s="94">
        <v>3.3</v>
      </c>
      <c r="F15" s="94">
        <v>0</v>
      </c>
      <c r="G15" s="94">
        <v>0</v>
      </c>
      <c r="H15" s="94">
        <v>0</v>
      </c>
      <c r="I15" s="94">
        <v>0</v>
      </c>
      <c r="J15" s="94">
        <v>0</v>
      </c>
      <c r="K15" s="94">
        <v>0</v>
      </c>
      <c r="L15" s="94">
        <v>0</v>
      </c>
      <c r="M15" s="94">
        <v>0</v>
      </c>
      <c r="N15" s="94">
        <v>110.4</v>
      </c>
      <c r="O15" s="94">
        <v>0</v>
      </c>
      <c r="P15" s="94">
        <v>0</v>
      </c>
      <c r="Q15" s="94">
        <v>30</v>
      </c>
      <c r="R15" s="94">
        <v>0</v>
      </c>
      <c r="S15" s="94">
        <v>0</v>
      </c>
      <c r="T15" s="94">
        <v>48</v>
      </c>
      <c r="U15" s="94">
        <v>0</v>
      </c>
      <c r="V15" s="94">
        <v>0</v>
      </c>
      <c r="W15" s="94">
        <v>0.03</v>
      </c>
      <c r="X15" s="94">
        <v>0</v>
      </c>
      <c r="Y15" s="94">
        <v>0</v>
      </c>
      <c r="Z15" s="94">
        <v>0</v>
      </c>
      <c r="AA15" s="94">
        <v>0</v>
      </c>
      <c r="AB15" s="94">
        <v>0</v>
      </c>
      <c r="AC15" s="94">
        <v>0</v>
      </c>
      <c r="AD15" s="94">
        <v>0</v>
      </c>
      <c r="AE15" s="94">
        <v>100</v>
      </c>
      <c r="AF15" s="94">
        <v>0</v>
      </c>
      <c r="AG15" s="94">
        <v>0</v>
      </c>
      <c r="AH15" s="94">
        <v>0</v>
      </c>
      <c r="AI15" s="94">
        <v>640</v>
      </c>
      <c r="AJ15" s="94">
        <v>0</v>
      </c>
      <c r="AK15" s="94">
        <v>500</v>
      </c>
      <c r="AL15" s="94">
        <v>0</v>
      </c>
      <c r="AM15" s="94">
        <v>864</v>
      </c>
    </row>
    <row r="16" spans="2:39" x14ac:dyDescent="0.2">
      <c r="B16" s="6" t="s">
        <v>11</v>
      </c>
      <c r="C16" s="94">
        <v>0</v>
      </c>
      <c r="D16" s="94">
        <v>0</v>
      </c>
      <c r="E16" s="94">
        <v>0</v>
      </c>
      <c r="F16" s="94">
        <v>0</v>
      </c>
      <c r="G16" s="94">
        <v>0</v>
      </c>
      <c r="H16" s="94">
        <v>0</v>
      </c>
      <c r="I16" s="94">
        <v>0</v>
      </c>
      <c r="J16" s="94">
        <v>0</v>
      </c>
      <c r="K16" s="94">
        <v>120</v>
      </c>
      <c r="L16" s="94">
        <v>90</v>
      </c>
      <c r="M16" s="94">
        <v>90</v>
      </c>
      <c r="N16" s="94">
        <v>90</v>
      </c>
      <c r="O16" s="94">
        <v>368.4</v>
      </c>
      <c r="P16" s="94">
        <v>262.8</v>
      </c>
      <c r="Q16" s="94">
        <v>1120.8</v>
      </c>
      <c r="R16" s="94">
        <v>333.6</v>
      </c>
      <c r="S16" s="94">
        <v>1083.5999999999999</v>
      </c>
      <c r="T16" s="94">
        <v>650.1</v>
      </c>
      <c r="U16" s="94">
        <v>615</v>
      </c>
      <c r="V16" s="94">
        <v>210</v>
      </c>
      <c r="W16" s="94">
        <v>49.5</v>
      </c>
      <c r="X16" s="94">
        <v>1982.7</v>
      </c>
      <c r="Y16" s="94">
        <v>1318.5</v>
      </c>
      <c r="Z16" s="94">
        <v>2027.2</v>
      </c>
      <c r="AA16" s="94">
        <v>950</v>
      </c>
      <c r="AB16" s="94">
        <v>2739</v>
      </c>
      <c r="AC16" s="94">
        <v>1140</v>
      </c>
      <c r="AD16" s="94">
        <v>1235</v>
      </c>
      <c r="AE16" s="94">
        <v>2135</v>
      </c>
      <c r="AF16" s="94">
        <v>8667.9</v>
      </c>
      <c r="AG16" s="94">
        <v>2658.4</v>
      </c>
      <c r="AH16" s="94">
        <v>900</v>
      </c>
      <c r="AI16" s="94">
        <v>2006</v>
      </c>
      <c r="AJ16" s="94">
        <v>2019</v>
      </c>
      <c r="AK16" s="94">
        <v>2004</v>
      </c>
      <c r="AL16" s="94">
        <v>2453</v>
      </c>
      <c r="AM16" s="94">
        <v>4100</v>
      </c>
    </row>
    <row r="17" spans="2:39" x14ac:dyDescent="0.2">
      <c r="B17" s="6" t="s">
        <v>12</v>
      </c>
      <c r="C17" s="94">
        <v>0</v>
      </c>
      <c r="D17" s="94">
        <v>0</v>
      </c>
      <c r="E17" s="94">
        <v>0</v>
      </c>
      <c r="F17" s="94">
        <v>0</v>
      </c>
      <c r="G17" s="94">
        <v>0</v>
      </c>
      <c r="H17" s="94">
        <v>0</v>
      </c>
      <c r="I17" s="94">
        <v>0</v>
      </c>
      <c r="J17" s="94">
        <v>0</v>
      </c>
      <c r="K17" s="94">
        <v>0</v>
      </c>
      <c r="L17" s="94">
        <v>0</v>
      </c>
      <c r="M17" s="94">
        <v>0</v>
      </c>
      <c r="N17" s="94">
        <v>0</v>
      </c>
      <c r="O17" s="94">
        <v>0</v>
      </c>
      <c r="P17" s="94">
        <v>0</v>
      </c>
      <c r="Q17" s="94">
        <v>0</v>
      </c>
      <c r="R17" s="94">
        <v>0</v>
      </c>
      <c r="S17" s="94">
        <v>0</v>
      </c>
      <c r="T17" s="94">
        <v>0</v>
      </c>
      <c r="U17" s="94">
        <v>0</v>
      </c>
      <c r="V17" s="94">
        <v>0</v>
      </c>
      <c r="W17" s="94">
        <v>30</v>
      </c>
      <c r="X17" s="94">
        <v>0</v>
      </c>
      <c r="Y17" s="94">
        <v>0</v>
      </c>
      <c r="Z17" s="94">
        <v>0</v>
      </c>
      <c r="AA17" s="94">
        <v>0</v>
      </c>
      <c r="AB17" s="94">
        <v>12</v>
      </c>
      <c r="AC17" s="94">
        <v>0</v>
      </c>
      <c r="AD17" s="94">
        <v>0</v>
      </c>
      <c r="AE17" s="94">
        <v>1236.7</v>
      </c>
      <c r="AF17" s="94">
        <v>5383.2</v>
      </c>
      <c r="AG17" s="94">
        <v>3917.5</v>
      </c>
      <c r="AH17" s="94">
        <v>4343.6000000000004</v>
      </c>
      <c r="AI17" s="94">
        <v>4246</v>
      </c>
      <c r="AJ17" s="94">
        <v>3692</v>
      </c>
      <c r="AK17" s="94">
        <v>1170</v>
      </c>
      <c r="AL17" s="94">
        <v>5523</v>
      </c>
      <c r="AM17" s="94">
        <v>3000</v>
      </c>
    </row>
    <row r="18" spans="2:39" x14ac:dyDescent="0.2">
      <c r="B18" s="6" t="s">
        <v>15</v>
      </c>
      <c r="C18" s="94">
        <v>0</v>
      </c>
      <c r="D18" s="94">
        <v>0</v>
      </c>
      <c r="E18" s="94">
        <v>0</v>
      </c>
      <c r="F18" s="94">
        <v>0</v>
      </c>
      <c r="G18" s="94">
        <v>0</v>
      </c>
      <c r="H18" s="94">
        <v>0</v>
      </c>
      <c r="I18" s="94">
        <v>0</v>
      </c>
      <c r="J18" s="94">
        <v>0</v>
      </c>
      <c r="K18" s="94">
        <v>0</v>
      </c>
      <c r="L18" s="94">
        <v>0</v>
      </c>
      <c r="M18" s="94">
        <v>0</v>
      </c>
      <c r="N18" s="94">
        <v>0</v>
      </c>
      <c r="O18" s="94">
        <v>0</v>
      </c>
      <c r="P18" s="94">
        <v>0</v>
      </c>
      <c r="Q18" s="94">
        <v>0</v>
      </c>
      <c r="R18" s="94">
        <v>0</v>
      </c>
      <c r="S18" s="94">
        <v>0</v>
      </c>
      <c r="T18" s="94">
        <v>16</v>
      </c>
      <c r="U18" s="94">
        <v>0</v>
      </c>
      <c r="V18" s="94">
        <v>83.2</v>
      </c>
      <c r="W18" s="94">
        <v>0</v>
      </c>
      <c r="X18" s="94">
        <v>0</v>
      </c>
      <c r="Y18" s="94">
        <v>0</v>
      </c>
      <c r="Z18" s="94">
        <v>0</v>
      </c>
      <c r="AA18" s="94">
        <v>0</v>
      </c>
      <c r="AB18" s="94">
        <v>473.3</v>
      </c>
      <c r="AC18" s="94">
        <v>1121.5</v>
      </c>
      <c r="AD18" s="94">
        <v>310</v>
      </c>
      <c r="AE18" s="94">
        <v>0</v>
      </c>
      <c r="AF18" s="94">
        <v>1038</v>
      </c>
      <c r="AG18" s="94">
        <v>550</v>
      </c>
      <c r="AH18" s="94">
        <v>1600</v>
      </c>
      <c r="AI18" s="94">
        <v>100</v>
      </c>
      <c r="AJ18" s="94">
        <v>600</v>
      </c>
      <c r="AK18" s="94">
        <v>0</v>
      </c>
      <c r="AL18" s="94">
        <v>800</v>
      </c>
      <c r="AM18" s="94">
        <v>0</v>
      </c>
    </row>
    <row r="19" spans="2:39" x14ac:dyDescent="0.2">
      <c r="B19" s="6" t="s">
        <v>17</v>
      </c>
      <c r="C19" s="94">
        <v>0</v>
      </c>
      <c r="D19" s="94">
        <v>0</v>
      </c>
      <c r="E19" s="94">
        <v>0</v>
      </c>
      <c r="F19" s="94">
        <v>0</v>
      </c>
      <c r="G19" s="94">
        <v>0</v>
      </c>
      <c r="H19" s="94">
        <v>0</v>
      </c>
      <c r="I19" s="94">
        <v>0</v>
      </c>
      <c r="J19" s="94">
        <v>0</v>
      </c>
      <c r="K19" s="94">
        <v>0</v>
      </c>
      <c r="L19" s="94">
        <v>0</v>
      </c>
      <c r="M19" s="94">
        <v>0</v>
      </c>
      <c r="N19" s="94">
        <v>0</v>
      </c>
      <c r="O19" s="94">
        <v>0</v>
      </c>
      <c r="P19" s="94">
        <v>0</v>
      </c>
      <c r="Q19" s="94">
        <v>0</v>
      </c>
      <c r="R19" s="94">
        <v>0</v>
      </c>
      <c r="S19" s="94">
        <v>0</v>
      </c>
      <c r="T19" s="94">
        <v>0</v>
      </c>
      <c r="U19" s="94">
        <v>0</v>
      </c>
      <c r="V19" s="94">
        <v>0</v>
      </c>
      <c r="W19" s="94">
        <v>0</v>
      </c>
      <c r="X19" s="94">
        <v>0</v>
      </c>
      <c r="Y19" s="94">
        <v>0</v>
      </c>
      <c r="Z19" s="94">
        <v>0</v>
      </c>
      <c r="AA19" s="94">
        <v>0</v>
      </c>
      <c r="AB19" s="94">
        <v>0</v>
      </c>
      <c r="AC19" s="94">
        <v>0</v>
      </c>
      <c r="AD19" s="94">
        <v>0</v>
      </c>
      <c r="AE19" s="94">
        <v>0</v>
      </c>
      <c r="AF19" s="94">
        <v>0</v>
      </c>
      <c r="AG19" s="94">
        <v>0</v>
      </c>
      <c r="AH19" s="94">
        <v>0</v>
      </c>
      <c r="AI19" s="94">
        <v>0</v>
      </c>
      <c r="AJ19" s="94">
        <v>0</v>
      </c>
      <c r="AK19" s="94">
        <v>0</v>
      </c>
      <c r="AL19" s="94">
        <v>0</v>
      </c>
      <c r="AM19" s="94">
        <v>0</v>
      </c>
    </row>
    <row r="20" spans="2:39" x14ac:dyDescent="0.2">
      <c r="B20" s="6" t="s">
        <v>80</v>
      </c>
      <c r="C20" s="94">
        <f>SUM(Table42[1995])</f>
        <v>5</v>
      </c>
      <c r="D20" s="94">
        <f>SUM(Table42[1996])</f>
        <v>16.8</v>
      </c>
      <c r="E20" s="94">
        <f>SUM(Table42[1997])</f>
        <v>3.3</v>
      </c>
      <c r="F20" s="94">
        <f>SUM(Table42[1998])</f>
        <v>0</v>
      </c>
      <c r="G20" s="94">
        <f>SUM(Table42[1999])</f>
        <v>0</v>
      </c>
      <c r="H20" s="94">
        <f>SUM(Table42[2000])</f>
        <v>40</v>
      </c>
      <c r="I20" s="94">
        <f>SUM(Table42[2001])</f>
        <v>0</v>
      </c>
      <c r="J20" s="94">
        <f>SUM(Table42[2002])</f>
        <v>376.4</v>
      </c>
      <c r="K20" s="94">
        <f>SUM(Table42[2003])</f>
        <v>156.51999999999998</v>
      </c>
      <c r="L20" s="94">
        <f>SUM(Table42[2004])</f>
        <v>94.5</v>
      </c>
      <c r="M20" s="94">
        <f>SUM(Table42[2005])</f>
        <v>90</v>
      </c>
      <c r="N20" s="94">
        <f>SUM(Table42[2006])</f>
        <v>430.9</v>
      </c>
      <c r="O20" s="94">
        <f>SUM(Table42[2007])</f>
        <v>368.4</v>
      </c>
      <c r="P20" s="94">
        <f>SUM(Table42[2008])</f>
        <v>562.1</v>
      </c>
      <c r="Q20" s="94">
        <f>SUM(Table42[2009])</f>
        <v>1713.3999999999999</v>
      </c>
      <c r="R20" s="94">
        <f>SUM(Table42[2010])</f>
        <v>971.19999999999993</v>
      </c>
      <c r="S20" s="94">
        <f>SUM(Table42[2011])</f>
        <v>2001.4059999999999</v>
      </c>
      <c r="T20" s="94">
        <f>SUM(Table42[2012])</f>
        <v>1997.9</v>
      </c>
      <c r="U20" s="94">
        <f>SUM(Table42[2013])</f>
        <v>2027</v>
      </c>
      <c r="V20" s="94">
        <f>SUM(Table42[2014])</f>
        <v>1006.2</v>
      </c>
      <c r="W20" s="94">
        <f>SUM(Table42[2015])</f>
        <v>2860.43</v>
      </c>
      <c r="X20" s="94">
        <f>SUM(Table42[2016])</f>
        <v>4224.2000000000007</v>
      </c>
      <c r="Y20" s="94">
        <f>SUM(Table42[2017])</f>
        <v>5171.7</v>
      </c>
      <c r="Z20" s="94">
        <f>SUM(Table42[2018])</f>
        <v>6934.0999999999995</v>
      </c>
      <c r="AA20" s="94">
        <f>SUM(Table42[2019])</f>
        <v>8600.65</v>
      </c>
      <c r="AB20" s="94">
        <f>SUM(Table42[2020])</f>
        <v>16818.2</v>
      </c>
      <c r="AC20" s="94">
        <f>SUM(Table42[2021])</f>
        <v>10826.225</v>
      </c>
      <c r="AD20" s="94">
        <f>SUM(Table42[2022])</f>
        <v>8487.7000000000007</v>
      </c>
      <c r="AE20" s="94">
        <f>SUM(Table42[2023])</f>
        <v>12807.650000000001</v>
      </c>
      <c r="AF20" s="94">
        <f>SUM(Table42[2024])</f>
        <v>23403</v>
      </c>
      <c r="AG20" s="94">
        <f>SUM(Table42[2025])</f>
        <v>16202.39</v>
      </c>
      <c r="AH20" s="94">
        <f>SUM(Table42[2026])</f>
        <v>18974.099999999999</v>
      </c>
      <c r="AI20" s="94">
        <f>SUM(Table42[2027])</f>
        <v>29986.9</v>
      </c>
      <c r="AJ20" s="94">
        <f>SUM(Table42[2028])</f>
        <v>28665.300000000003</v>
      </c>
      <c r="AK20" s="94">
        <f>SUM(Table42[2029])</f>
        <v>24573.5</v>
      </c>
      <c r="AL20" s="94">
        <f>SUM(Table42[2030])</f>
        <v>30895</v>
      </c>
      <c r="AM20" s="94">
        <f>SUM(Table42[2031])</f>
        <v>35615.15</v>
      </c>
    </row>
    <row r="21" spans="2:39" x14ac:dyDescent="0.2">
      <c r="B21"/>
    </row>
    <row r="22" spans="2:39" ht="17" thickBot="1" x14ac:dyDescent="0.25">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row>
    <row r="23" spans="2:39" x14ac:dyDescent="0.2">
      <c r="B23" s="119" t="s">
        <v>50</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1"/>
    </row>
    <row r="24" spans="2:39" x14ac:dyDescent="0.2">
      <c r="B24" s="38" t="s">
        <v>18</v>
      </c>
      <c r="C24" s="38" t="s">
        <v>696</v>
      </c>
      <c r="D24" s="38" t="s">
        <v>697</v>
      </c>
      <c r="E24" s="38" t="s">
        <v>698</v>
      </c>
      <c r="F24" s="38" t="s">
        <v>699</v>
      </c>
      <c r="G24" s="38" t="s">
        <v>700</v>
      </c>
      <c r="H24" s="38" t="s">
        <v>138</v>
      </c>
      <c r="I24" s="38" t="s">
        <v>139</v>
      </c>
      <c r="J24" s="38" t="s">
        <v>140</v>
      </c>
      <c r="K24" s="38" t="s">
        <v>141</v>
      </c>
      <c r="L24" s="38" t="s">
        <v>142</v>
      </c>
      <c r="M24" s="38" t="s">
        <v>143</v>
      </c>
      <c r="N24" s="38" t="s">
        <v>144</v>
      </c>
      <c r="O24" s="38" t="s">
        <v>145</v>
      </c>
      <c r="P24" s="38" t="s">
        <v>146</v>
      </c>
      <c r="Q24" s="38" t="s">
        <v>147</v>
      </c>
      <c r="R24" s="38" t="s">
        <v>148</v>
      </c>
      <c r="S24" s="38" t="s">
        <v>149</v>
      </c>
      <c r="T24" s="38" t="s">
        <v>150</v>
      </c>
      <c r="U24" s="38" t="s">
        <v>151</v>
      </c>
      <c r="V24" s="38" t="s">
        <v>152</v>
      </c>
      <c r="W24" s="38" t="s">
        <v>153</v>
      </c>
      <c r="X24" s="38" t="s">
        <v>154</v>
      </c>
      <c r="Y24" s="38" t="s">
        <v>155</v>
      </c>
      <c r="Z24" s="38" t="s">
        <v>156</v>
      </c>
      <c r="AA24" s="38" t="s">
        <v>157</v>
      </c>
      <c r="AB24" s="38" t="s">
        <v>127</v>
      </c>
      <c r="AC24" s="38" t="s">
        <v>128</v>
      </c>
      <c r="AD24" s="38" t="s">
        <v>129</v>
      </c>
      <c r="AE24" s="38" t="s">
        <v>130</v>
      </c>
      <c r="AF24" s="38" t="s">
        <v>131</v>
      </c>
      <c r="AG24" s="38" t="s">
        <v>132</v>
      </c>
      <c r="AH24" s="38" t="s">
        <v>133</v>
      </c>
      <c r="AI24" s="38" t="s">
        <v>134</v>
      </c>
      <c r="AJ24" s="38" t="s">
        <v>135</v>
      </c>
      <c r="AK24" s="38" t="s">
        <v>136</v>
      </c>
      <c r="AL24" s="38" t="s">
        <v>137</v>
      </c>
      <c r="AM24" s="38" t="s">
        <v>166</v>
      </c>
    </row>
    <row r="25" spans="2:39" x14ac:dyDescent="0.2">
      <c r="B25" s="38" t="s">
        <v>4</v>
      </c>
      <c r="C25" s="97">
        <v>0</v>
      </c>
      <c r="D25" s="97">
        <v>0</v>
      </c>
      <c r="E25" s="97">
        <v>0</v>
      </c>
      <c r="F25" s="97">
        <v>0</v>
      </c>
      <c r="G25" s="97">
        <v>0</v>
      </c>
      <c r="H25" s="97">
        <v>0</v>
      </c>
      <c r="I25" s="97">
        <v>0</v>
      </c>
      <c r="J25" s="97">
        <v>0</v>
      </c>
      <c r="K25" s="97">
        <v>0</v>
      </c>
      <c r="L25" s="97">
        <v>0</v>
      </c>
      <c r="M25" s="97">
        <v>0</v>
      </c>
      <c r="N25" s="97">
        <v>0</v>
      </c>
      <c r="O25" s="97">
        <v>0</v>
      </c>
      <c r="P25" s="97">
        <v>30</v>
      </c>
      <c r="Q25" s="97">
        <v>0</v>
      </c>
      <c r="R25" s="97">
        <v>165</v>
      </c>
      <c r="S25" s="97">
        <v>0</v>
      </c>
      <c r="T25" s="97">
        <v>185</v>
      </c>
      <c r="U25" s="97">
        <v>111</v>
      </c>
      <c r="V25" s="97">
        <v>216</v>
      </c>
      <c r="W25" s="97">
        <v>0</v>
      </c>
      <c r="X25" s="97">
        <v>0</v>
      </c>
      <c r="Y25" s="97">
        <v>165</v>
      </c>
      <c r="Z25" s="97">
        <v>0</v>
      </c>
      <c r="AA25" s="97">
        <v>678</v>
      </c>
      <c r="AB25" s="97">
        <v>706</v>
      </c>
      <c r="AC25" s="97">
        <v>0</v>
      </c>
      <c r="AD25" s="97">
        <v>0</v>
      </c>
      <c r="AE25" s="97">
        <v>0</v>
      </c>
      <c r="AF25" s="97">
        <v>0</v>
      </c>
      <c r="AG25" s="97">
        <v>0</v>
      </c>
      <c r="AH25" s="97">
        <v>0</v>
      </c>
      <c r="AI25" s="97">
        <v>0</v>
      </c>
      <c r="AJ25" s="97">
        <v>1075</v>
      </c>
      <c r="AK25" s="97">
        <v>0</v>
      </c>
      <c r="AL25" s="97">
        <v>1075</v>
      </c>
      <c r="AM25" s="97">
        <v>0</v>
      </c>
    </row>
    <row r="26" spans="2:39" x14ac:dyDescent="0.2">
      <c r="B26" s="38" t="s">
        <v>5</v>
      </c>
      <c r="C26" s="97">
        <v>0</v>
      </c>
      <c r="D26" s="97">
        <v>0</v>
      </c>
      <c r="E26" s="97">
        <v>0</v>
      </c>
      <c r="F26" s="97">
        <v>0</v>
      </c>
      <c r="G26" s="97">
        <v>0</v>
      </c>
      <c r="H26" s="97">
        <v>0</v>
      </c>
      <c r="I26" s="97">
        <v>0</v>
      </c>
      <c r="J26" s="97">
        <v>0</v>
      </c>
      <c r="K26" s="97">
        <v>0</v>
      </c>
      <c r="L26" s="97">
        <v>0</v>
      </c>
      <c r="M26" s="97">
        <v>0</v>
      </c>
      <c r="N26" s="97">
        <v>0</v>
      </c>
      <c r="O26" s="97">
        <v>2</v>
      </c>
      <c r="P26" s="97">
        <v>0</v>
      </c>
      <c r="Q26" s="97">
        <v>0</v>
      </c>
      <c r="R26" s="97">
        <v>155</v>
      </c>
      <c r="S26" s="97">
        <v>99</v>
      </c>
      <c r="T26" s="97">
        <v>119</v>
      </c>
      <c r="U26" s="97">
        <v>36</v>
      </c>
      <c r="V26" s="97">
        <v>176</v>
      </c>
      <c r="W26" s="97">
        <v>386</v>
      </c>
      <c r="X26" s="97">
        <v>643</v>
      </c>
      <c r="Y26" s="97">
        <v>1067</v>
      </c>
      <c r="Z26" s="97">
        <v>1845</v>
      </c>
      <c r="AA26" s="97">
        <v>2728</v>
      </c>
      <c r="AB26" s="97">
        <v>4045</v>
      </c>
      <c r="AC26" s="97">
        <v>10815</v>
      </c>
      <c r="AD26" s="97">
        <v>4112</v>
      </c>
      <c r="AE26" s="97">
        <v>3198</v>
      </c>
      <c r="AF26" s="97">
        <v>4328</v>
      </c>
      <c r="AG26" s="97">
        <v>5358</v>
      </c>
      <c r="AH26" s="97">
        <v>4384</v>
      </c>
      <c r="AI26" s="97">
        <v>4880</v>
      </c>
      <c r="AJ26" s="97">
        <v>5730</v>
      </c>
      <c r="AK26" s="97">
        <v>7030</v>
      </c>
      <c r="AL26" s="97">
        <v>8530</v>
      </c>
      <c r="AM26" s="97">
        <v>7100</v>
      </c>
    </row>
    <row r="27" spans="2:39" x14ac:dyDescent="0.2">
      <c r="B27" s="38" t="s">
        <v>6</v>
      </c>
      <c r="C27" s="97">
        <v>5</v>
      </c>
      <c r="D27" s="97">
        <v>0</v>
      </c>
      <c r="E27" s="97">
        <v>0</v>
      </c>
      <c r="F27" s="97">
        <v>0</v>
      </c>
      <c r="G27" s="97">
        <v>0</v>
      </c>
      <c r="H27" s="97">
        <v>0</v>
      </c>
      <c r="I27" s="97">
        <v>40</v>
      </c>
      <c r="J27" s="97">
        <v>160</v>
      </c>
      <c r="K27" s="97">
        <v>213</v>
      </c>
      <c r="L27" s="97">
        <v>0</v>
      </c>
      <c r="M27" s="97">
        <v>0</v>
      </c>
      <c r="N27" s="97">
        <v>0</v>
      </c>
      <c r="O27" s="97">
        <v>0</v>
      </c>
      <c r="P27" s="97">
        <v>0</v>
      </c>
      <c r="Q27" s="97">
        <v>238</v>
      </c>
      <c r="R27" s="97">
        <v>207</v>
      </c>
      <c r="S27" s="97">
        <v>4</v>
      </c>
      <c r="T27" s="97">
        <v>0</v>
      </c>
      <c r="U27" s="97">
        <v>400</v>
      </c>
      <c r="V27" s="97">
        <v>0</v>
      </c>
      <c r="W27" s="97">
        <v>0</v>
      </c>
      <c r="X27" s="97">
        <v>0</v>
      </c>
      <c r="Y27" s="97">
        <v>0</v>
      </c>
      <c r="Z27" s="97">
        <v>28</v>
      </c>
      <c r="AA27" s="97">
        <v>407</v>
      </c>
      <c r="AB27" s="97">
        <v>0</v>
      </c>
      <c r="AC27" s="97">
        <v>604</v>
      </c>
      <c r="AD27" s="97">
        <v>0</v>
      </c>
      <c r="AE27" s="97">
        <v>344</v>
      </c>
      <c r="AF27" s="97">
        <v>0</v>
      </c>
      <c r="AG27" s="97">
        <v>0</v>
      </c>
      <c r="AH27" s="97">
        <v>0</v>
      </c>
      <c r="AI27" s="97">
        <v>1000</v>
      </c>
      <c r="AJ27" s="97">
        <v>1200</v>
      </c>
      <c r="AK27" s="97">
        <v>0</v>
      </c>
      <c r="AL27" s="97">
        <v>1000</v>
      </c>
      <c r="AM27" s="97">
        <v>1000</v>
      </c>
    </row>
    <row r="28" spans="2:39" x14ac:dyDescent="0.2">
      <c r="B28" s="38" t="s">
        <v>7</v>
      </c>
      <c r="C28" s="97">
        <v>0</v>
      </c>
      <c r="D28" s="97">
        <v>0</v>
      </c>
      <c r="E28" s="97">
        <v>0</v>
      </c>
      <c r="F28" s="97">
        <v>0</v>
      </c>
      <c r="G28" s="97">
        <v>0</v>
      </c>
      <c r="H28" s="97">
        <v>0</v>
      </c>
      <c r="I28" s="97">
        <v>0</v>
      </c>
      <c r="J28" s="97">
        <v>0</v>
      </c>
      <c r="K28" s="97">
        <v>0</v>
      </c>
      <c r="L28" s="97">
        <v>5</v>
      </c>
      <c r="M28" s="97">
        <v>0</v>
      </c>
      <c r="N28" s="97">
        <v>3</v>
      </c>
      <c r="O28" s="97">
        <v>0</v>
      </c>
      <c r="P28" s="97">
        <v>10</v>
      </c>
      <c r="Q28" s="97">
        <v>0</v>
      </c>
      <c r="R28" s="97">
        <v>60</v>
      </c>
      <c r="S28" s="97">
        <v>48</v>
      </c>
      <c r="T28" s="97">
        <v>0</v>
      </c>
      <c r="U28" s="97">
        <v>400</v>
      </c>
      <c r="V28" s="97">
        <v>108</v>
      </c>
      <c r="W28" s="97">
        <v>2647</v>
      </c>
      <c r="X28" s="97">
        <v>0</v>
      </c>
      <c r="Y28" s="97">
        <v>2065</v>
      </c>
      <c r="Z28" s="97">
        <v>465</v>
      </c>
      <c r="AA28" s="97">
        <v>1537</v>
      </c>
      <c r="AB28" s="97">
        <v>320</v>
      </c>
      <c r="AC28" s="97">
        <v>0</v>
      </c>
      <c r="AD28" s="97">
        <v>342</v>
      </c>
      <c r="AE28" s="97">
        <v>733</v>
      </c>
      <c r="AF28" s="97">
        <v>252</v>
      </c>
      <c r="AG28" s="97">
        <v>1800</v>
      </c>
      <c r="AH28" s="97">
        <v>958</v>
      </c>
      <c r="AI28" s="97">
        <v>958</v>
      </c>
      <c r="AJ28" s="97">
        <v>900</v>
      </c>
      <c r="AK28" s="97">
        <v>2900</v>
      </c>
      <c r="AL28" s="97">
        <v>4000</v>
      </c>
      <c r="AM28" s="97">
        <v>4000</v>
      </c>
    </row>
    <row r="29" spans="2:39" x14ac:dyDescent="0.2">
      <c r="B29" s="38" t="s">
        <v>47</v>
      </c>
      <c r="C29" s="97">
        <v>0</v>
      </c>
      <c r="D29" s="97">
        <v>0</v>
      </c>
      <c r="E29" s="97">
        <v>0</v>
      </c>
      <c r="F29" s="97">
        <v>0</v>
      </c>
      <c r="G29" s="97">
        <v>0</v>
      </c>
      <c r="H29" s="97">
        <v>0</v>
      </c>
      <c r="I29" s="97">
        <v>0</v>
      </c>
      <c r="J29" s="97">
        <v>0</v>
      </c>
      <c r="K29" s="97">
        <v>0</v>
      </c>
      <c r="L29" s="97">
        <v>0</v>
      </c>
      <c r="M29" s="97">
        <v>0</v>
      </c>
      <c r="N29" s="97">
        <v>0</v>
      </c>
      <c r="O29" s="97">
        <v>0</v>
      </c>
      <c r="P29" s="97">
        <v>0</v>
      </c>
      <c r="Q29" s="97">
        <v>0</v>
      </c>
      <c r="R29" s="97">
        <v>0</v>
      </c>
      <c r="S29" s="97">
        <v>0</v>
      </c>
      <c r="T29" s="97">
        <v>0</v>
      </c>
      <c r="U29" s="97">
        <v>8</v>
      </c>
      <c r="V29" s="97">
        <v>0</v>
      </c>
      <c r="W29" s="97">
        <v>0</v>
      </c>
      <c r="X29" s="97">
        <v>5</v>
      </c>
      <c r="Y29" s="97">
        <v>3</v>
      </c>
      <c r="Z29" s="97">
        <v>0</v>
      </c>
      <c r="AA29" s="97">
        <v>3</v>
      </c>
      <c r="AB29" s="97">
        <v>0</v>
      </c>
      <c r="AC29" s="97">
        <v>0</v>
      </c>
      <c r="AD29" s="97">
        <v>146</v>
      </c>
      <c r="AE29" s="97">
        <v>104</v>
      </c>
      <c r="AF29" s="97">
        <v>97</v>
      </c>
      <c r="AG29" s="97">
        <v>220</v>
      </c>
      <c r="AH29" s="97">
        <v>181</v>
      </c>
      <c r="AI29" s="97">
        <v>830</v>
      </c>
      <c r="AJ29" s="97">
        <v>810</v>
      </c>
      <c r="AK29" s="97">
        <v>366</v>
      </c>
      <c r="AL29" s="97">
        <v>1380</v>
      </c>
      <c r="AM29" s="97">
        <v>1050</v>
      </c>
    </row>
    <row r="30" spans="2:39" x14ac:dyDescent="0.2">
      <c r="B30" s="38" t="s">
        <v>8</v>
      </c>
      <c r="C30" s="97">
        <v>0</v>
      </c>
      <c r="D30" s="97">
        <v>17</v>
      </c>
      <c r="E30" s="97">
        <v>0</v>
      </c>
      <c r="F30" s="97">
        <v>0</v>
      </c>
      <c r="G30" s="97">
        <v>0</v>
      </c>
      <c r="H30" s="97">
        <v>0</v>
      </c>
      <c r="I30" s="97">
        <v>0</v>
      </c>
      <c r="J30" s="97">
        <v>0</v>
      </c>
      <c r="K30" s="97">
        <v>0</v>
      </c>
      <c r="L30" s="97">
        <v>0</v>
      </c>
      <c r="M30" s="97">
        <v>0</v>
      </c>
      <c r="N30" s="97">
        <v>0</v>
      </c>
      <c r="O30" s="97">
        <v>108</v>
      </c>
      <c r="P30" s="97">
        <v>120</v>
      </c>
      <c r="Q30" s="97">
        <v>0</v>
      </c>
      <c r="R30" s="97">
        <v>0</v>
      </c>
      <c r="S30" s="97">
        <v>0</v>
      </c>
      <c r="T30" s="97">
        <v>0</v>
      </c>
      <c r="U30" s="97">
        <v>0</v>
      </c>
      <c r="V30" s="97">
        <v>0</v>
      </c>
      <c r="W30" s="97">
        <v>129</v>
      </c>
      <c r="X30" s="97">
        <v>144</v>
      </c>
      <c r="Y30" s="97">
        <v>600</v>
      </c>
      <c r="Z30" s="97">
        <v>0</v>
      </c>
      <c r="AA30" s="97">
        <v>0</v>
      </c>
      <c r="AB30" s="97">
        <v>752</v>
      </c>
      <c r="AC30" s="97">
        <v>1133</v>
      </c>
      <c r="AD30" s="97">
        <v>0</v>
      </c>
      <c r="AE30" s="97">
        <v>1540</v>
      </c>
      <c r="AF30" s="97">
        <v>759</v>
      </c>
      <c r="AG30" s="97">
        <v>0</v>
      </c>
      <c r="AH30" s="97">
        <v>1400</v>
      </c>
      <c r="AI30" s="97">
        <v>700</v>
      </c>
      <c r="AJ30" s="97">
        <v>1000</v>
      </c>
      <c r="AK30" s="97">
        <v>2000</v>
      </c>
      <c r="AL30" s="97">
        <v>2000</v>
      </c>
      <c r="AM30" s="97">
        <v>1000</v>
      </c>
    </row>
    <row r="31" spans="2:39" x14ac:dyDescent="0.2">
      <c r="B31" s="38" t="s">
        <v>17</v>
      </c>
      <c r="C31" s="97">
        <v>0</v>
      </c>
      <c r="D31" s="97">
        <v>0</v>
      </c>
      <c r="E31" s="97">
        <v>0</v>
      </c>
      <c r="F31" s="97">
        <v>0</v>
      </c>
      <c r="G31" s="97">
        <v>0</v>
      </c>
      <c r="H31" s="97">
        <v>0</v>
      </c>
      <c r="I31" s="97">
        <v>0</v>
      </c>
      <c r="J31" s="97">
        <v>0</v>
      </c>
      <c r="K31" s="97">
        <v>0</v>
      </c>
      <c r="L31" s="97">
        <v>0</v>
      </c>
      <c r="M31" s="97">
        <v>0</v>
      </c>
      <c r="N31" s="97">
        <v>0</v>
      </c>
      <c r="O31" s="97">
        <v>0</v>
      </c>
      <c r="P31" s="97">
        <v>24</v>
      </c>
      <c r="Q31" s="97">
        <v>0</v>
      </c>
      <c r="R31" s="97">
        <v>2</v>
      </c>
      <c r="S31" s="97">
        <v>0</v>
      </c>
      <c r="T31" s="97">
        <v>2</v>
      </c>
      <c r="U31" s="97">
        <v>0</v>
      </c>
      <c r="V31" s="97">
        <v>0</v>
      </c>
      <c r="W31" s="97">
        <v>0</v>
      </c>
      <c r="X31" s="97">
        <v>0</v>
      </c>
      <c r="Y31" s="97">
        <v>40</v>
      </c>
      <c r="Z31" s="97">
        <v>0</v>
      </c>
      <c r="AA31" s="97">
        <v>0</v>
      </c>
      <c r="AB31" s="97">
        <v>25</v>
      </c>
      <c r="AC31" s="97">
        <v>0</v>
      </c>
      <c r="AD31" s="97">
        <v>0</v>
      </c>
      <c r="AE31" s="97">
        <v>0</v>
      </c>
      <c r="AF31" s="97">
        <v>0</v>
      </c>
      <c r="AG31" s="97">
        <v>0</v>
      </c>
      <c r="AH31" s="97">
        <v>0</v>
      </c>
      <c r="AI31" s="97">
        <v>0</v>
      </c>
      <c r="AJ31" s="97">
        <v>0</v>
      </c>
      <c r="AK31" s="97">
        <v>0</v>
      </c>
      <c r="AL31" s="97">
        <v>700</v>
      </c>
      <c r="AM31" s="97">
        <v>500</v>
      </c>
    </row>
    <row r="32" spans="2:39" x14ac:dyDescent="0.2">
      <c r="B32" s="38" t="s">
        <v>101</v>
      </c>
      <c r="C32" s="97">
        <v>0</v>
      </c>
      <c r="D32" s="97">
        <v>0</v>
      </c>
      <c r="E32" s="97">
        <v>0</v>
      </c>
      <c r="F32" s="97">
        <v>0</v>
      </c>
      <c r="G32" s="97">
        <v>0</v>
      </c>
      <c r="H32" s="97">
        <v>0</v>
      </c>
      <c r="I32" s="97">
        <v>0</v>
      </c>
      <c r="J32" s="97">
        <v>0</v>
      </c>
      <c r="K32" s="97">
        <v>0</v>
      </c>
      <c r="L32" s="97">
        <v>0</v>
      </c>
      <c r="M32" s="97">
        <v>0</v>
      </c>
      <c r="N32" s="97">
        <v>0</v>
      </c>
      <c r="O32" s="97">
        <v>0</v>
      </c>
      <c r="P32" s="97">
        <v>0</v>
      </c>
      <c r="Q32" s="97">
        <v>0</v>
      </c>
      <c r="R32" s="97">
        <v>0</v>
      </c>
      <c r="S32" s="97">
        <v>0</v>
      </c>
      <c r="T32" s="97">
        <v>0</v>
      </c>
      <c r="U32" s="97">
        <v>0</v>
      </c>
      <c r="V32" s="97">
        <v>0</v>
      </c>
      <c r="W32" s="97">
        <v>0</v>
      </c>
      <c r="X32" s="97">
        <v>0</v>
      </c>
      <c r="Y32" s="97">
        <v>0</v>
      </c>
      <c r="Z32" s="97">
        <v>0</v>
      </c>
      <c r="AA32" s="97">
        <v>0</v>
      </c>
      <c r="AB32" s="97">
        <v>0</v>
      </c>
      <c r="AC32" s="97">
        <v>0</v>
      </c>
      <c r="AD32" s="97">
        <v>0</v>
      </c>
      <c r="AE32" s="97">
        <v>0</v>
      </c>
      <c r="AF32" s="97">
        <v>0</v>
      </c>
      <c r="AG32" s="97">
        <v>0</v>
      </c>
      <c r="AH32" s="97">
        <v>0</v>
      </c>
      <c r="AI32" s="97">
        <v>0</v>
      </c>
      <c r="AJ32" s="97">
        <v>0</v>
      </c>
      <c r="AK32" s="97">
        <v>0</v>
      </c>
      <c r="AL32" s="97">
        <v>0</v>
      </c>
      <c r="AM32" s="97">
        <v>0</v>
      </c>
    </row>
    <row r="33" spans="2:39" x14ac:dyDescent="0.2">
      <c r="B33" s="38" t="s">
        <v>9</v>
      </c>
      <c r="C33" s="97">
        <v>0</v>
      </c>
      <c r="D33" s="97">
        <v>0</v>
      </c>
      <c r="E33" s="97">
        <v>0</v>
      </c>
      <c r="F33" s="97">
        <v>0</v>
      </c>
      <c r="G33" s="97">
        <v>0</v>
      </c>
      <c r="H33" s="97">
        <v>0</v>
      </c>
      <c r="I33" s="97">
        <v>0</v>
      </c>
      <c r="J33" s="97">
        <v>0</v>
      </c>
      <c r="K33" s="97">
        <v>0</v>
      </c>
      <c r="L33" s="97">
        <v>0</v>
      </c>
      <c r="M33" s="97">
        <v>0</v>
      </c>
      <c r="N33" s="97">
        <v>0</v>
      </c>
      <c r="O33" s="97">
        <v>0</v>
      </c>
      <c r="P33" s="97">
        <v>0</v>
      </c>
      <c r="Q33" s="97">
        <v>0</v>
      </c>
      <c r="R33" s="97">
        <v>0</v>
      </c>
      <c r="S33" s="97">
        <v>0</v>
      </c>
      <c r="T33" s="97">
        <v>5</v>
      </c>
      <c r="U33" s="97">
        <v>0</v>
      </c>
      <c r="V33" s="97">
        <v>0</v>
      </c>
      <c r="W33" s="97">
        <v>0</v>
      </c>
      <c r="X33" s="97">
        <v>8</v>
      </c>
      <c r="Y33" s="97">
        <v>33</v>
      </c>
      <c r="Z33" s="97">
        <v>0</v>
      </c>
      <c r="AA33" s="97">
        <v>155</v>
      </c>
      <c r="AB33" s="97">
        <v>60</v>
      </c>
      <c r="AC33" s="97">
        <v>109</v>
      </c>
      <c r="AD33" s="97">
        <v>2136</v>
      </c>
      <c r="AE33" s="97">
        <v>504</v>
      </c>
      <c r="AF33" s="97">
        <v>700</v>
      </c>
      <c r="AG33" s="97">
        <v>2460</v>
      </c>
      <c r="AH33" s="97">
        <v>2574</v>
      </c>
      <c r="AI33" s="97">
        <v>3016</v>
      </c>
      <c r="AJ33" s="97">
        <v>3200</v>
      </c>
      <c r="AK33" s="97">
        <v>3462</v>
      </c>
      <c r="AL33" s="97">
        <v>3724</v>
      </c>
      <c r="AM33" s="97">
        <v>3736</v>
      </c>
    </row>
    <row r="34" spans="2:39" x14ac:dyDescent="0.2">
      <c r="B34" s="38" t="s">
        <v>10</v>
      </c>
      <c r="C34" s="97">
        <v>0</v>
      </c>
      <c r="D34" s="97">
        <v>0</v>
      </c>
      <c r="E34" s="97">
        <v>0</v>
      </c>
      <c r="F34" s="97">
        <v>0</v>
      </c>
      <c r="G34" s="97">
        <v>0</v>
      </c>
      <c r="H34" s="97">
        <v>0</v>
      </c>
      <c r="I34" s="97">
        <v>0</v>
      </c>
      <c r="J34" s="97">
        <v>0</v>
      </c>
      <c r="K34" s="97">
        <v>0</v>
      </c>
      <c r="L34" s="97">
        <v>25</v>
      </c>
      <c r="M34" s="97">
        <v>0</v>
      </c>
      <c r="N34" s="97">
        <v>0</v>
      </c>
      <c r="O34" s="97">
        <v>0</v>
      </c>
      <c r="P34" s="97">
        <v>24</v>
      </c>
      <c r="Q34" s="97">
        <v>2</v>
      </c>
      <c r="R34" s="97">
        <v>2</v>
      </c>
      <c r="S34" s="97">
        <v>0</v>
      </c>
      <c r="T34" s="97">
        <v>2</v>
      </c>
      <c r="U34" s="97">
        <v>0</v>
      </c>
      <c r="V34" s="97">
        <v>0</v>
      </c>
      <c r="W34" s="97">
        <v>0</v>
      </c>
      <c r="X34" s="97">
        <v>0</v>
      </c>
      <c r="Y34" s="97">
        <v>40</v>
      </c>
      <c r="Z34" s="97">
        <v>2</v>
      </c>
      <c r="AA34" s="97">
        <v>5</v>
      </c>
      <c r="AB34" s="97">
        <v>25</v>
      </c>
      <c r="AC34" s="97">
        <v>4</v>
      </c>
      <c r="AD34" s="97">
        <v>600</v>
      </c>
      <c r="AE34" s="97">
        <v>1118</v>
      </c>
      <c r="AF34" s="97">
        <v>454</v>
      </c>
      <c r="AG34" s="97">
        <v>30</v>
      </c>
      <c r="AH34" s="97">
        <v>2782</v>
      </c>
      <c r="AI34" s="97">
        <v>2845</v>
      </c>
      <c r="AJ34" s="97">
        <v>2716</v>
      </c>
      <c r="AK34" s="97">
        <v>3814</v>
      </c>
      <c r="AL34" s="97">
        <v>3300</v>
      </c>
      <c r="AM34" s="97">
        <v>4450</v>
      </c>
    </row>
    <row r="35" spans="2:39" x14ac:dyDescent="0.2">
      <c r="B35" s="38" t="s">
        <v>42</v>
      </c>
      <c r="C35" s="97">
        <v>0</v>
      </c>
      <c r="D35" s="97">
        <v>0</v>
      </c>
      <c r="E35" s="97">
        <v>3</v>
      </c>
      <c r="F35" s="97">
        <v>0</v>
      </c>
      <c r="G35" s="97">
        <v>0</v>
      </c>
      <c r="H35" s="97">
        <v>11</v>
      </c>
      <c r="I35" s="97">
        <v>10</v>
      </c>
      <c r="J35" s="97">
        <v>0</v>
      </c>
      <c r="K35" s="97">
        <v>0</v>
      </c>
      <c r="L35" s="97">
        <v>0</v>
      </c>
      <c r="M35" s="97">
        <v>0</v>
      </c>
      <c r="N35" s="97">
        <v>0</v>
      </c>
      <c r="O35" s="97">
        <v>0</v>
      </c>
      <c r="P35" s="97">
        <v>110</v>
      </c>
      <c r="Q35" s="97">
        <v>0</v>
      </c>
      <c r="R35" s="97">
        <v>30</v>
      </c>
      <c r="S35" s="97">
        <v>0</v>
      </c>
      <c r="T35" s="97">
        <v>0</v>
      </c>
      <c r="U35" s="97">
        <v>48</v>
      </c>
      <c r="V35" s="97">
        <v>0</v>
      </c>
      <c r="W35" s="97">
        <v>0</v>
      </c>
      <c r="X35" s="97">
        <v>0</v>
      </c>
      <c r="Y35" s="97">
        <v>0</v>
      </c>
      <c r="Z35" s="97">
        <v>3</v>
      </c>
      <c r="AA35" s="97">
        <v>0</v>
      </c>
      <c r="AB35" s="97">
        <v>0</v>
      </c>
      <c r="AC35" s="97">
        <v>0</v>
      </c>
      <c r="AD35" s="97">
        <v>0</v>
      </c>
      <c r="AE35" s="97">
        <v>0</v>
      </c>
      <c r="AF35" s="97">
        <v>0</v>
      </c>
      <c r="AG35" s="97">
        <v>100</v>
      </c>
      <c r="AH35" s="97">
        <v>0</v>
      </c>
      <c r="AI35" s="97">
        <v>0</v>
      </c>
      <c r="AJ35" s="97">
        <v>0</v>
      </c>
      <c r="AK35" s="97">
        <v>0</v>
      </c>
      <c r="AL35" s="97">
        <v>0</v>
      </c>
      <c r="AM35" s="97">
        <v>0</v>
      </c>
    </row>
    <row r="36" spans="2:39" x14ac:dyDescent="0.2">
      <c r="B36" s="38" t="s">
        <v>11</v>
      </c>
      <c r="C36" s="97">
        <v>0</v>
      </c>
      <c r="D36" s="97">
        <v>0</v>
      </c>
      <c r="E36" s="97">
        <v>0</v>
      </c>
      <c r="F36" s="97">
        <v>0</v>
      </c>
      <c r="G36" s="97">
        <v>0</v>
      </c>
      <c r="H36" s="97">
        <v>4</v>
      </c>
      <c r="I36" s="97">
        <v>0</v>
      </c>
      <c r="J36" s="97">
        <v>0</v>
      </c>
      <c r="K36" s="97">
        <v>60</v>
      </c>
      <c r="L36" s="97">
        <v>60</v>
      </c>
      <c r="M36" s="97">
        <v>90</v>
      </c>
      <c r="N36" s="97">
        <v>90</v>
      </c>
      <c r="O36" s="97">
        <v>100</v>
      </c>
      <c r="P36" s="97">
        <v>0</v>
      </c>
      <c r="Q36" s="97">
        <v>284</v>
      </c>
      <c r="R36" s="97">
        <v>653</v>
      </c>
      <c r="S36" s="97">
        <v>184</v>
      </c>
      <c r="T36" s="97">
        <v>1157</v>
      </c>
      <c r="U36" s="97">
        <v>974</v>
      </c>
      <c r="V36" s="97">
        <v>396</v>
      </c>
      <c r="W36" s="97">
        <v>1055</v>
      </c>
      <c r="X36" s="97">
        <v>0</v>
      </c>
      <c r="Y36" s="97">
        <v>730</v>
      </c>
      <c r="Z36" s="97">
        <v>2081</v>
      </c>
      <c r="AA36" s="97">
        <v>1985</v>
      </c>
      <c r="AB36" s="97">
        <v>535</v>
      </c>
      <c r="AC36" s="97">
        <v>48</v>
      </c>
      <c r="AD36" s="97">
        <v>3191</v>
      </c>
      <c r="AE36" s="97">
        <v>2125</v>
      </c>
      <c r="AF36" s="97">
        <v>1595</v>
      </c>
      <c r="AG36" s="97">
        <v>1918</v>
      </c>
      <c r="AH36" s="97">
        <v>4036</v>
      </c>
      <c r="AI36" s="97">
        <v>3688</v>
      </c>
      <c r="AJ36" s="97">
        <v>2162</v>
      </c>
      <c r="AK36" s="97">
        <v>1767</v>
      </c>
      <c r="AL36" s="97">
        <v>5303</v>
      </c>
      <c r="AM36" s="97">
        <v>6474</v>
      </c>
    </row>
    <row r="37" spans="2:39" x14ac:dyDescent="0.2">
      <c r="B37" s="38" t="s">
        <v>12</v>
      </c>
      <c r="C37" s="97">
        <v>0</v>
      </c>
      <c r="D37" s="97">
        <v>0</v>
      </c>
      <c r="E37" s="97">
        <v>0</v>
      </c>
      <c r="F37" s="97">
        <v>0</v>
      </c>
      <c r="G37" s="97">
        <v>0</v>
      </c>
      <c r="H37" s="97">
        <v>0</v>
      </c>
      <c r="I37" s="97">
        <v>0</v>
      </c>
      <c r="J37" s="97">
        <v>0</v>
      </c>
      <c r="K37" s="97">
        <v>0</v>
      </c>
      <c r="L37" s="97">
        <v>0</v>
      </c>
      <c r="M37" s="97">
        <v>0</v>
      </c>
      <c r="N37" s="97">
        <v>0</v>
      </c>
      <c r="O37" s="97">
        <v>0</v>
      </c>
      <c r="P37" s="97">
        <v>0</v>
      </c>
      <c r="Q37" s="97">
        <v>0</v>
      </c>
      <c r="R37" s="97">
        <v>0</v>
      </c>
      <c r="S37" s="97">
        <v>0</v>
      </c>
      <c r="T37" s="97">
        <v>0</v>
      </c>
      <c r="U37" s="97">
        <v>0</v>
      </c>
      <c r="V37" s="97">
        <v>0</v>
      </c>
      <c r="W37" s="97">
        <v>0</v>
      </c>
      <c r="X37" s="97">
        <v>30</v>
      </c>
      <c r="Y37" s="97">
        <v>0</v>
      </c>
      <c r="Z37" s="97">
        <v>0</v>
      </c>
      <c r="AA37" s="97">
        <v>0</v>
      </c>
      <c r="AB37" s="97">
        <v>12</v>
      </c>
      <c r="AC37" s="97">
        <v>0</v>
      </c>
      <c r="AD37" s="97">
        <v>0</v>
      </c>
      <c r="AE37" s="97">
        <v>535</v>
      </c>
      <c r="AF37" s="97">
        <v>1535</v>
      </c>
      <c r="AG37" s="97">
        <v>3591</v>
      </c>
      <c r="AH37" s="97">
        <v>2696</v>
      </c>
      <c r="AI37" s="97">
        <v>4626</v>
      </c>
      <c r="AJ37" s="97">
        <v>3748</v>
      </c>
      <c r="AK37" s="97">
        <v>4678</v>
      </c>
      <c r="AL37" s="97">
        <v>4330</v>
      </c>
      <c r="AM37" s="97">
        <v>3500</v>
      </c>
    </row>
    <row r="38" spans="2:39" x14ac:dyDescent="0.2">
      <c r="B38" s="38" t="s">
        <v>15</v>
      </c>
      <c r="C38" s="97">
        <v>0</v>
      </c>
      <c r="D38" s="97">
        <v>0</v>
      </c>
      <c r="E38" s="97">
        <v>0</v>
      </c>
      <c r="F38" s="97">
        <v>0</v>
      </c>
      <c r="G38" s="97">
        <v>0</v>
      </c>
      <c r="H38" s="97">
        <v>0</v>
      </c>
      <c r="I38" s="97">
        <v>0</v>
      </c>
      <c r="J38" s="97">
        <v>0</v>
      </c>
      <c r="K38" s="97">
        <v>0</v>
      </c>
      <c r="L38" s="97">
        <v>0</v>
      </c>
      <c r="M38" s="97">
        <v>0</v>
      </c>
      <c r="N38" s="97">
        <v>0</v>
      </c>
      <c r="O38" s="97">
        <v>0</v>
      </c>
      <c r="P38" s="97">
        <v>0</v>
      </c>
      <c r="Q38" s="97">
        <v>0</v>
      </c>
      <c r="R38" s="97">
        <v>0</v>
      </c>
      <c r="S38" s="97">
        <v>0</v>
      </c>
      <c r="T38" s="97">
        <v>0</v>
      </c>
      <c r="U38" s="97">
        <v>16</v>
      </c>
      <c r="V38" s="97">
        <v>0</v>
      </c>
      <c r="W38" s="97">
        <v>0</v>
      </c>
      <c r="X38" s="97">
        <v>83</v>
      </c>
      <c r="Y38" s="97">
        <v>0</v>
      </c>
      <c r="Z38" s="97">
        <v>0</v>
      </c>
      <c r="AA38" s="97">
        <v>0</v>
      </c>
      <c r="AB38" s="97">
        <v>0</v>
      </c>
      <c r="AC38" s="97">
        <v>729</v>
      </c>
      <c r="AD38" s="97">
        <v>641</v>
      </c>
      <c r="AE38" s="97">
        <v>513</v>
      </c>
      <c r="AF38" s="97">
        <v>857</v>
      </c>
      <c r="AG38" s="97">
        <v>608</v>
      </c>
      <c r="AH38" s="97">
        <v>500</v>
      </c>
      <c r="AI38" s="97">
        <v>500</v>
      </c>
      <c r="AJ38" s="97">
        <v>500</v>
      </c>
      <c r="AK38" s="97">
        <v>800</v>
      </c>
      <c r="AL38" s="97">
        <v>1000</v>
      </c>
      <c r="AM38" s="97">
        <v>1500</v>
      </c>
    </row>
    <row r="39" spans="2:39" x14ac:dyDescent="0.2">
      <c r="B39" s="38" t="s">
        <v>225</v>
      </c>
      <c r="C39" s="97">
        <v>0</v>
      </c>
      <c r="D39" s="97">
        <v>0</v>
      </c>
      <c r="E39" s="97">
        <v>0</v>
      </c>
      <c r="F39" s="97">
        <v>0</v>
      </c>
      <c r="G39" s="97">
        <v>0</v>
      </c>
      <c r="H39" s="97">
        <v>0</v>
      </c>
      <c r="I39" s="97">
        <v>0</v>
      </c>
      <c r="J39" s="97">
        <v>0</v>
      </c>
      <c r="K39" s="97">
        <v>0</v>
      </c>
      <c r="L39" s="97">
        <v>0</v>
      </c>
      <c r="M39" s="97">
        <v>0</v>
      </c>
      <c r="N39" s="97">
        <v>0</v>
      </c>
      <c r="O39" s="97">
        <v>0</v>
      </c>
      <c r="P39" s="97">
        <v>0</v>
      </c>
      <c r="Q39" s="97">
        <v>0</v>
      </c>
      <c r="R39" s="97">
        <v>0</v>
      </c>
      <c r="S39" s="97">
        <v>0</v>
      </c>
      <c r="T39" s="97">
        <v>0</v>
      </c>
      <c r="U39" s="97">
        <v>0</v>
      </c>
      <c r="V39" s="97">
        <v>0</v>
      </c>
      <c r="W39" s="97">
        <v>0</v>
      </c>
      <c r="X39" s="97">
        <v>0</v>
      </c>
      <c r="Y39" s="97">
        <v>0</v>
      </c>
      <c r="Z39" s="97">
        <v>0</v>
      </c>
      <c r="AA39" s="97">
        <v>0</v>
      </c>
      <c r="AB39" s="97">
        <v>0</v>
      </c>
      <c r="AC39" s="97">
        <v>0</v>
      </c>
      <c r="AD39" s="97">
        <v>0</v>
      </c>
      <c r="AE39" s="97">
        <v>0</v>
      </c>
      <c r="AF39" s="97">
        <v>0</v>
      </c>
      <c r="AG39" s="97">
        <v>0</v>
      </c>
      <c r="AH39" s="97">
        <v>0</v>
      </c>
      <c r="AI39" s="97">
        <v>0</v>
      </c>
      <c r="AJ39" s="97">
        <v>0</v>
      </c>
      <c r="AK39" s="97">
        <v>0</v>
      </c>
      <c r="AL39" s="97">
        <v>0</v>
      </c>
      <c r="AM39" s="97">
        <v>0</v>
      </c>
    </row>
    <row r="40" spans="2:39" x14ac:dyDescent="0.2">
      <c r="B40" s="38" t="s">
        <v>80</v>
      </c>
      <c r="C40" s="97">
        <f>SUM(Table43[1995])</f>
        <v>5</v>
      </c>
      <c r="D40" s="97">
        <f>SUBTOTAL(109,Table43[1996])</f>
        <v>17</v>
      </c>
      <c r="E40" s="97">
        <f>SUBTOTAL(109,Table43[1997])</f>
        <v>3</v>
      </c>
      <c r="F40" s="97">
        <f>SUBTOTAL(109,Table43[1998])</f>
        <v>0</v>
      </c>
      <c r="G40" s="97">
        <f>SUBTOTAL(109,Table43[1999])</f>
        <v>0</v>
      </c>
      <c r="H40" s="97">
        <f>SUBTOTAL(109,Table43[2000])</f>
        <v>15</v>
      </c>
      <c r="I40" s="97">
        <f>SUBTOTAL(109,Table43[2001])</f>
        <v>50</v>
      </c>
      <c r="J40" s="97">
        <f>SUBTOTAL(109,Table43[2002])</f>
        <v>160</v>
      </c>
      <c r="K40" s="97">
        <f>SUBTOTAL(109,Table43[2003])</f>
        <v>273</v>
      </c>
      <c r="L40" s="97">
        <f>SUBTOTAL(109,Table43[2004])</f>
        <v>90</v>
      </c>
      <c r="M40" s="97">
        <f>SUBTOTAL(109,Table43[2005])</f>
        <v>90</v>
      </c>
      <c r="N40" s="97">
        <f>SUBTOTAL(109,Table43[2006])</f>
        <v>93</v>
      </c>
      <c r="O40" s="97">
        <f>SUBTOTAL(109,Table43[2007])</f>
        <v>210</v>
      </c>
      <c r="P40" s="97">
        <f>SUBTOTAL(109,Table43[2008])</f>
        <v>318</v>
      </c>
      <c r="Q40" s="97">
        <f>SUBTOTAL(109,Table43[2009])</f>
        <v>524</v>
      </c>
      <c r="R40" s="97">
        <f>SUBTOTAL(109,Table43[2010])</f>
        <v>1274</v>
      </c>
      <c r="S40" s="97">
        <f>SUBTOTAL(109,Table43[2011])</f>
        <v>335</v>
      </c>
      <c r="T40" s="97">
        <f>SUBTOTAL(109,Table43[2012])</f>
        <v>1470</v>
      </c>
      <c r="U40" s="97">
        <f>SUBTOTAL(109,Table43[2013])</f>
        <v>1993</v>
      </c>
      <c r="V40" s="97">
        <f>SUBTOTAL(109,Table43[2014])</f>
        <v>896</v>
      </c>
      <c r="W40" s="97">
        <f>SUBTOTAL(109,Table43[2015])</f>
        <v>4217</v>
      </c>
      <c r="X40" s="97">
        <f>SUBTOTAL(109,Table43[2016])</f>
        <v>913</v>
      </c>
      <c r="Y40" s="97">
        <f>SUBTOTAL(109,Table43[2017])</f>
        <v>4743</v>
      </c>
      <c r="Z40" s="97">
        <f>SUBTOTAL(109,Table43[2018])</f>
        <v>4424</v>
      </c>
      <c r="AA40" s="97">
        <f>SUBTOTAL(109,Table43[2019])</f>
        <v>7498</v>
      </c>
      <c r="AB40" s="97">
        <f>SUBTOTAL(109,Table43[2020])</f>
        <v>6480</v>
      </c>
      <c r="AC40" s="97">
        <f>SUBTOTAL(109,Table43[2021])</f>
        <v>13442</v>
      </c>
      <c r="AD40" s="97">
        <f>SUBTOTAL(109,Table43[2022])</f>
        <v>11168</v>
      </c>
      <c r="AE40" s="97">
        <f>SUBTOTAL(109,Table43[2023])</f>
        <v>10714</v>
      </c>
      <c r="AF40" s="97">
        <f>SUBTOTAL(109,Table43[2024])</f>
        <v>10577</v>
      </c>
      <c r="AG40" s="97">
        <f>SUBTOTAL(109,Table43[2025])</f>
        <v>16085</v>
      </c>
      <c r="AH40" s="97">
        <f>SUBTOTAL(109,Table43[2026])</f>
        <v>19511</v>
      </c>
      <c r="AI40" s="97">
        <f>SUBTOTAL(109,Table43[2027])</f>
        <v>23043</v>
      </c>
      <c r="AJ40" s="97">
        <f>SUBTOTAL(109,Table43[2028])</f>
        <v>23041</v>
      </c>
      <c r="AK40" s="97">
        <f>SUBTOTAL(109,Table43[2029])</f>
        <v>26817</v>
      </c>
      <c r="AL40" s="97">
        <f>SUBTOTAL(109,Table43[2030])</f>
        <v>36342</v>
      </c>
      <c r="AM40" s="97">
        <f>SUBTOTAL(109,Table43[2031])</f>
        <v>34310</v>
      </c>
    </row>
    <row r="41" spans="2:39" x14ac:dyDescent="0.2">
      <c r="B41"/>
    </row>
    <row r="42" spans="2:39" x14ac:dyDescent="0.2">
      <c r="B42"/>
    </row>
    <row r="43" spans="2:39" x14ac:dyDescent="0.2">
      <c r="B43"/>
    </row>
    <row r="44" spans="2:39" x14ac:dyDescent="0.2">
      <c r="B44"/>
    </row>
    <row r="45" spans="2:39" x14ac:dyDescent="0.2">
      <c r="B45"/>
    </row>
    <row r="46" spans="2:39" x14ac:dyDescent="0.2">
      <c r="B46"/>
    </row>
    <row r="47" spans="2:39" x14ac:dyDescent="0.2">
      <c r="B47"/>
    </row>
    <row r="48" spans="2:39" x14ac:dyDescent="0.2">
      <c r="B48"/>
    </row>
    <row r="49" spans="2:33" x14ac:dyDescent="0.2">
      <c r="B49"/>
    </row>
    <row r="50" spans="2:33" x14ac:dyDescent="0.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row>
  </sheetData>
  <mergeCells count="2">
    <mergeCell ref="B3:AM3"/>
    <mergeCell ref="B23:AM23"/>
  </mergeCells>
  <pageMargins left="0.7" right="0.7" top="0.75" bottom="0.75" header="0.3" footer="0.3"/>
  <tableParts count="2">
    <tablePart r:id="rId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41F4-4C0B-4F45-83C1-BF0B1AAAB537}">
  <dimension ref="B1:H35"/>
  <sheetViews>
    <sheetView workbookViewId="0">
      <selection activeCell="B2" sqref="B2"/>
    </sheetView>
  </sheetViews>
  <sheetFormatPr baseColWidth="10" defaultColWidth="11" defaultRowHeight="16" x14ac:dyDescent="0.2"/>
  <cols>
    <col min="2" max="2" width="21.33203125" customWidth="1"/>
    <col min="3" max="3" width="11.6640625" style="1" bestFit="1" customWidth="1"/>
    <col min="4" max="4" width="10.83203125" style="1" bestFit="1" customWidth="1"/>
    <col min="5" max="5" width="11" style="1" bestFit="1" customWidth="1"/>
    <col min="6" max="6" width="16.33203125" style="1" bestFit="1" customWidth="1"/>
    <col min="7" max="7" width="16.5" bestFit="1" customWidth="1"/>
    <col min="8" max="8" width="9.5" bestFit="1" customWidth="1"/>
  </cols>
  <sheetData>
    <row r="1" spans="2:8" ht="24" x14ac:dyDescent="0.3">
      <c r="B1" s="8" t="s">
        <v>826</v>
      </c>
    </row>
    <row r="3" spans="2:8" x14ac:dyDescent="0.2">
      <c r="B3" t="s">
        <v>701</v>
      </c>
      <c r="C3" s="15" t="s">
        <v>819</v>
      </c>
      <c r="D3" s="15" t="s">
        <v>704</v>
      </c>
      <c r="E3" s="15" t="s">
        <v>705</v>
      </c>
      <c r="F3" s="15" t="s">
        <v>703</v>
      </c>
      <c r="G3" s="37" t="s">
        <v>706</v>
      </c>
      <c r="H3" s="117" t="s">
        <v>702</v>
      </c>
    </row>
    <row r="4" spans="2:8" x14ac:dyDescent="0.2">
      <c r="B4" s="4">
        <v>2021</v>
      </c>
      <c r="C4" s="28"/>
      <c r="D4" s="28">
        <v>71.3</v>
      </c>
      <c r="E4" s="28"/>
      <c r="F4" s="28"/>
      <c r="G4" s="29"/>
      <c r="H4" s="116"/>
    </row>
    <row r="5" spans="2:8" x14ac:dyDescent="0.2">
      <c r="B5" s="4">
        <v>2022</v>
      </c>
      <c r="C5" s="28"/>
      <c r="D5" s="28"/>
      <c r="E5" s="28"/>
      <c r="F5" s="28"/>
      <c r="G5" s="29"/>
      <c r="H5" s="116"/>
    </row>
    <row r="6" spans="2:8" x14ac:dyDescent="0.2">
      <c r="B6" s="4">
        <v>2023</v>
      </c>
      <c r="C6" s="28"/>
      <c r="D6" s="28"/>
      <c r="E6" s="28"/>
      <c r="F6" s="28"/>
      <c r="G6" s="29"/>
      <c r="H6" s="116"/>
    </row>
    <row r="7" spans="2:8" x14ac:dyDescent="0.2">
      <c r="B7" s="4">
        <v>2024</v>
      </c>
      <c r="C7" s="28"/>
      <c r="D7" s="28"/>
      <c r="E7" s="28"/>
      <c r="F7" s="28"/>
      <c r="G7" s="29"/>
      <c r="H7" s="116"/>
    </row>
    <row r="8" spans="2:8" x14ac:dyDescent="0.2">
      <c r="B8" s="4">
        <v>2025</v>
      </c>
      <c r="C8" s="28">
        <v>716</v>
      </c>
      <c r="D8" s="28"/>
      <c r="E8" s="28"/>
      <c r="F8" s="28"/>
      <c r="G8" s="29"/>
      <c r="H8" s="116"/>
    </row>
    <row r="9" spans="2:8" x14ac:dyDescent="0.2">
      <c r="B9" s="4">
        <v>2026</v>
      </c>
      <c r="C9" s="28"/>
      <c r="D9" s="28"/>
      <c r="E9" s="28"/>
      <c r="F9" s="28"/>
      <c r="G9" s="29"/>
      <c r="H9" s="116"/>
    </row>
    <row r="10" spans="2:8" x14ac:dyDescent="0.2">
      <c r="B10" s="4">
        <v>2027</v>
      </c>
      <c r="C10" s="28">
        <v>8362</v>
      </c>
      <c r="D10" s="28"/>
      <c r="E10" s="28"/>
      <c r="F10" s="28"/>
      <c r="G10" s="29"/>
      <c r="H10" s="116"/>
    </row>
    <row r="11" spans="2:8" x14ac:dyDescent="0.2">
      <c r="B11" s="102">
        <v>2028</v>
      </c>
      <c r="C11" s="29"/>
      <c r="D11" s="29"/>
      <c r="E11" s="29"/>
      <c r="F11" s="29"/>
      <c r="G11" s="54"/>
      <c r="H11" s="116"/>
    </row>
    <row r="12" spans="2:8" x14ac:dyDescent="0.2">
      <c r="B12" s="3">
        <v>2029</v>
      </c>
      <c r="C12" s="60"/>
      <c r="D12" s="60"/>
      <c r="E12" s="60"/>
      <c r="F12" s="60"/>
      <c r="G12" s="80"/>
      <c r="H12" s="116"/>
    </row>
    <row r="13" spans="2:8" x14ac:dyDescent="0.2">
      <c r="B13" s="3">
        <v>2030</v>
      </c>
      <c r="C13" s="60"/>
      <c r="D13" s="60">
        <v>16500</v>
      </c>
      <c r="E13" s="60">
        <v>5279</v>
      </c>
      <c r="F13" s="60">
        <v>14000</v>
      </c>
      <c r="G13" s="80">
        <v>12500</v>
      </c>
      <c r="H13" s="116">
        <v>11000</v>
      </c>
    </row>
    <row r="14" spans="2:8" x14ac:dyDescent="0.2">
      <c r="B14" s="3">
        <v>2031</v>
      </c>
      <c r="C14" s="60"/>
      <c r="D14" s="60"/>
      <c r="E14" s="60"/>
      <c r="F14" s="60"/>
      <c r="G14" s="80"/>
      <c r="H14" s="116"/>
    </row>
    <row r="15" spans="2:8" x14ac:dyDescent="0.2">
      <c r="B15" s="3">
        <v>2032</v>
      </c>
      <c r="C15" s="60"/>
      <c r="D15" s="60"/>
      <c r="E15" s="60"/>
      <c r="F15" s="60"/>
      <c r="G15" s="80"/>
      <c r="H15" s="116"/>
    </row>
    <row r="16" spans="2:8" x14ac:dyDescent="0.2">
      <c r="B16" s="3">
        <v>2033</v>
      </c>
      <c r="C16" s="60"/>
      <c r="D16" s="60"/>
      <c r="E16" s="60"/>
      <c r="F16" s="60"/>
      <c r="G16" s="80"/>
      <c r="H16" s="116"/>
    </row>
    <row r="17" spans="2:8" x14ac:dyDescent="0.2">
      <c r="B17" s="3">
        <v>2034</v>
      </c>
      <c r="C17" s="60"/>
      <c r="D17" s="60"/>
      <c r="E17" s="60"/>
      <c r="F17" s="60"/>
      <c r="G17" s="80"/>
      <c r="H17" s="116"/>
    </row>
    <row r="18" spans="2:8" x14ac:dyDescent="0.2">
      <c r="B18" s="3">
        <v>2035</v>
      </c>
      <c r="C18" s="60"/>
      <c r="D18" s="60"/>
      <c r="E18" s="60">
        <v>20855</v>
      </c>
      <c r="F18" s="60">
        <v>41500</v>
      </c>
      <c r="G18" s="80">
        <v>45000</v>
      </c>
      <c r="H18" s="116"/>
    </row>
    <row r="19" spans="2:8" x14ac:dyDescent="0.2">
      <c r="B19" s="3">
        <v>2036</v>
      </c>
      <c r="C19" s="60"/>
      <c r="D19" s="60"/>
      <c r="E19" s="60"/>
      <c r="F19" s="60"/>
      <c r="G19" s="80"/>
      <c r="H19" s="116"/>
    </row>
    <row r="20" spans="2:8" x14ac:dyDescent="0.2">
      <c r="B20" s="3">
        <v>2037</v>
      </c>
      <c r="C20" s="60"/>
      <c r="D20" s="60"/>
      <c r="E20" s="60"/>
      <c r="F20" s="60"/>
      <c r="G20" s="80"/>
      <c r="H20" s="116"/>
    </row>
    <row r="21" spans="2:8" x14ac:dyDescent="0.2">
      <c r="B21" s="3">
        <v>2038</v>
      </c>
      <c r="C21" s="60"/>
      <c r="D21" s="60"/>
      <c r="E21" s="60"/>
      <c r="F21" s="60"/>
      <c r="G21" s="80"/>
      <c r="H21" s="116"/>
    </row>
    <row r="22" spans="2:8" x14ac:dyDescent="0.2">
      <c r="B22" s="3">
        <v>2039</v>
      </c>
      <c r="C22" s="60"/>
      <c r="D22" s="60"/>
      <c r="E22" s="60"/>
      <c r="F22" s="60"/>
      <c r="G22" s="80"/>
      <c r="H22" s="116"/>
    </row>
    <row r="23" spans="2:8" x14ac:dyDescent="0.2">
      <c r="B23" s="3">
        <v>2040</v>
      </c>
      <c r="C23" s="60"/>
      <c r="D23" s="60"/>
      <c r="E23" s="60"/>
      <c r="F23" s="60"/>
      <c r="G23" s="80"/>
      <c r="H23" s="116">
        <v>105000</v>
      </c>
    </row>
    <row r="24" spans="2:8" x14ac:dyDescent="0.2">
      <c r="B24" s="3">
        <v>2041</v>
      </c>
      <c r="C24" s="60"/>
      <c r="D24" s="60"/>
      <c r="E24" s="60"/>
      <c r="F24" s="60"/>
      <c r="G24" s="80"/>
      <c r="H24" s="116"/>
    </row>
    <row r="25" spans="2:8" x14ac:dyDescent="0.2">
      <c r="B25" s="3">
        <v>2042</v>
      </c>
      <c r="C25" s="60"/>
      <c r="D25" s="60"/>
      <c r="E25" s="60"/>
      <c r="F25" s="60"/>
      <c r="G25" s="80"/>
      <c r="H25" s="116"/>
    </row>
    <row r="26" spans="2:8" x14ac:dyDescent="0.2">
      <c r="B26" s="3">
        <v>2043</v>
      </c>
      <c r="C26" s="60"/>
      <c r="D26" s="60"/>
      <c r="E26" s="60"/>
      <c r="F26" s="60"/>
      <c r="G26" s="80"/>
      <c r="H26" s="116"/>
    </row>
    <row r="27" spans="2:8" x14ac:dyDescent="0.2">
      <c r="B27" s="3">
        <v>2044</v>
      </c>
      <c r="C27" s="60"/>
      <c r="D27" s="60"/>
      <c r="E27" s="60"/>
      <c r="F27" s="60"/>
      <c r="G27" s="80"/>
      <c r="H27" s="116"/>
    </row>
    <row r="28" spans="2:8" x14ac:dyDescent="0.2">
      <c r="B28" s="3">
        <v>2045</v>
      </c>
      <c r="C28" s="60"/>
      <c r="D28" s="60"/>
      <c r="E28" s="60"/>
      <c r="F28" s="60"/>
      <c r="G28" s="82"/>
      <c r="H28" s="116"/>
    </row>
    <row r="29" spans="2:8" x14ac:dyDescent="0.2">
      <c r="B29" s="3">
        <v>2046</v>
      </c>
      <c r="C29" s="60"/>
      <c r="D29" s="60"/>
      <c r="E29" s="60"/>
      <c r="F29" s="60"/>
      <c r="G29" s="82"/>
      <c r="H29" s="116"/>
    </row>
    <row r="30" spans="2:8" x14ac:dyDescent="0.2">
      <c r="B30" s="3">
        <v>2047</v>
      </c>
      <c r="C30" s="60"/>
      <c r="D30" s="60"/>
      <c r="E30" s="60"/>
      <c r="F30" s="60"/>
      <c r="G30" s="82"/>
      <c r="H30" s="116"/>
    </row>
    <row r="31" spans="2:8" x14ac:dyDescent="0.2">
      <c r="B31" s="3">
        <v>2048</v>
      </c>
      <c r="C31" s="60"/>
      <c r="D31" s="60"/>
      <c r="E31" s="60"/>
      <c r="F31" s="60"/>
      <c r="G31" s="82"/>
      <c r="H31" s="116"/>
    </row>
    <row r="32" spans="2:8" x14ac:dyDescent="0.2">
      <c r="B32" s="3">
        <v>2049</v>
      </c>
      <c r="C32" s="60"/>
      <c r="D32" s="60"/>
      <c r="E32" s="60"/>
      <c r="F32" s="60"/>
      <c r="G32" s="82"/>
      <c r="H32" s="116"/>
    </row>
    <row r="33" spans="2:8" x14ac:dyDescent="0.2">
      <c r="B33" s="3">
        <v>2050</v>
      </c>
      <c r="C33" s="60"/>
      <c r="D33" s="60"/>
      <c r="E33" s="60"/>
      <c r="F33" s="60"/>
      <c r="G33" s="82"/>
      <c r="H33" s="116">
        <v>264000</v>
      </c>
    </row>
    <row r="34" spans="2:8" x14ac:dyDescent="0.2">
      <c r="B34" s="11"/>
      <c r="C34" s="12"/>
      <c r="D34" s="12"/>
      <c r="E34" s="12"/>
      <c r="F34" s="12"/>
      <c r="G34" s="11"/>
    </row>
    <row r="35" spans="2:8" x14ac:dyDescent="0.2">
      <c r="B35" s="11"/>
      <c r="C35" s="12"/>
      <c r="D35" s="12"/>
      <c r="E35" s="12"/>
      <c r="F35" s="12"/>
      <c r="G35" s="11"/>
    </row>
  </sheetData>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69892-ADC4-DF4B-AB0E-213EF56E6B9D}">
  <dimension ref="B1:E19"/>
  <sheetViews>
    <sheetView workbookViewId="0">
      <selection activeCell="F8" sqref="F8"/>
    </sheetView>
  </sheetViews>
  <sheetFormatPr baseColWidth="10" defaultColWidth="11" defaultRowHeight="16" x14ac:dyDescent="0.2"/>
  <cols>
    <col min="2" max="2" width="21.33203125" customWidth="1"/>
    <col min="3" max="3" width="28" style="1" bestFit="1" customWidth="1"/>
    <col min="4" max="4" width="51.5" style="1" customWidth="1"/>
    <col min="5" max="5" width="27.83203125" style="1" bestFit="1" customWidth="1"/>
  </cols>
  <sheetData>
    <row r="1" spans="2:5" ht="24" x14ac:dyDescent="0.3">
      <c r="B1" s="8" t="s">
        <v>707</v>
      </c>
    </row>
    <row r="3" spans="2:5" x14ac:dyDescent="0.2">
      <c r="B3" t="s">
        <v>18</v>
      </c>
      <c r="C3" s="15" t="s">
        <v>708</v>
      </c>
      <c r="D3" s="15" t="s">
        <v>709</v>
      </c>
      <c r="E3" s="15" t="s">
        <v>507</v>
      </c>
    </row>
    <row r="4" spans="2:5" ht="17" x14ac:dyDescent="0.2">
      <c r="B4" s="98" t="s">
        <v>4</v>
      </c>
      <c r="C4" s="99" t="s">
        <v>710</v>
      </c>
      <c r="D4" s="99"/>
      <c r="E4" s="99" t="s">
        <v>711</v>
      </c>
    </row>
    <row r="5" spans="2:5" ht="34" x14ac:dyDescent="0.2">
      <c r="B5" s="98" t="s">
        <v>712</v>
      </c>
      <c r="C5" s="99" t="s">
        <v>744</v>
      </c>
      <c r="D5" s="99" t="s">
        <v>713</v>
      </c>
      <c r="E5" s="99" t="s">
        <v>714</v>
      </c>
    </row>
    <row r="6" spans="2:5" ht="17" x14ac:dyDescent="0.2">
      <c r="B6" s="98" t="s">
        <v>715</v>
      </c>
      <c r="C6" s="99"/>
      <c r="D6" s="99"/>
      <c r="E6" s="99"/>
    </row>
    <row r="7" spans="2:5" ht="17" x14ac:dyDescent="0.2">
      <c r="B7" s="98" t="s">
        <v>45</v>
      </c>
      <c r="C7" s="99" t="s">
        <v>716</v>
      </c>
      <c r="D7" s="99" t="s">
        <v>717</v>
      </c>
      <c r="E7" s="99" t="s">
        <v>718</v>
      </c>
    </row>
    <row r="8" spans="2:5" ht="51" x14ac:dyDescent="0.2">
      <c r="B8" s="98" t="s">
        <v>7</v>
      </c>
      <c r="C8" s="99" t="s">
        <v>719</v>
      </c>
      <c r="D8" s="99" t="s">
        <v>720</v>
      </c>
      <c r="E8" s="99" t="s">
        <v>721</v>
      </c>
    </row>
    <row r="9" spans="2:5" ht="17" x14ac:dyDescent="0.2">
      <c r="B9" s="98" t="s">
        <v>41</v>
      </c>
      <c r="C9" s="99" t="s">
        <v>722</v>
      </c>
      <c r="D9" s="99" t="s">
        <v>723</v>
      </c>
      <c r="E9" s="99" t="s">
        <v>724</v>
      </c>
    </row>
    <row r="10" spans="2:5" ht="34" x14ac:dyDescent="0.2">
      <c r="B10" s="78" t="s">
        <v>725</v>
      </c>
      <c r="C10" s="101" t="s">
        <v>726</v>
      </c>
      <c r="D10" s="101"/>
      <c r="E10" s="101" t="s">
        <v>727</v>
      </c>
    </row>
    <row r="11" spans="2:5" ht="17" x14ac:dyDescent="0.2">
      <c r="B11" s="76" t="s">
        <v>43</v>
      </c>
      <c r="C11" s="100" t="s">
        <v>728</v>
      </c>
      <c r="D11" s="100" t="s">
        <v>729</v>
      </c>
      <c r="E11" s="100" t="s">
        <v>730</v>
      </c>
    </row>
    <row r="12" spans="2:5" ht="17" x14ac:dyDescent="0.2">
      <c r="B12" s="76" t="s">
        <v>731</v>
      </c>
      <c r="C12" s="100" t="s">
        <v>732</v>
      </c>
      <c r="D12" s="100" t="s">
        <v>734</v>
      </c>
      <c r="E12" s="100"/>
    </row>
    <row r="13" spans="2:5" ht="17" x14ac:dyDescent="0.2">
      <c r="B13" s="76"/>
      <c r="C13" s="100" t="s">
        <v>733</v>
      </c>
      <c r="D13" s="100"/>
      <c r="E13" s="100"/>
    </row>
    <row r="14" spans="2:5" ht="34" x14ac:dyDescent="0.2">
      <c r="B14" s="76" t="s">
        <v>14</v>
      </c>
      <c r="C14" s="100" t="s">
        <v>735</v>
      </c>
      <c r="D14" s="100" t="s">
        <v>736</v>
      </c>
      <c r="E14" s="100" t="s">
        <v>737</v>
      </c>
    </row>
    <row r="15" spans="2:5" ht="34" x14ac:dyDescent="0.2">
      <c r="B15" s="76" t="s">
        <v>44</v>
      </c>
      <c r="C15" s="100" t="s">
        <v>738</v>
      </c>
      <c r="D15" s="100"/>
      <c r="E15" s="100"/>
    </row>
    <row r="16" spans="2:5" ht="34" x14ac:dyDescent="0.2">
      <c r="B16" s="76" t="s">
        <v>11</v>
      </c>
      <c r="C16" s="100" t="s">
        <v>739</v>
      </c>
      <c r="D16" s="100" t="s">
        <v>741</v>
      </c>
      <c r="E16" s="100" t="s">
        <v>743</v>
      </c>
    </row>
    <row r="17" spans="2:5" ht="17" x14ac:dyDescent="0.2">
      <c r="B17" s="76" t="s">
        <v>11</v>
      </c>
      <c r="C17" s="100" t="s">
        <v>740</v>
      </c>
      <c r="D17" s="100"/>
      <c r="E17" s="100" t="s">
        <v>742</v>
      </c>
    </row>
    <row r="18" spans="2:5" x14ac:dyDescent="0.2">
      <c r="B18" s="11"/>
      <c r="C18" s="12"/>
      <c r="D18" s="12"/>
      <c r="E18" s="12"/>
    </row>
    <row r="19" spans="2:5" x14ac:dyDescent="0.2">
      <c r="B19" s="11"/>
      <c r="C19" s="12"/>
      <c r="D19" s="12"/>
      <c r="E19" s="12"/>
    </row>
  </sheetData>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40A98-48B2-2747-A6BB-E0E16EBD9AAC}">
  <dimension ref="B1:E10"/>
  <sheetViews>
    <sheetView workbookViewId="0">
      <selection activeCell="G13" sqref="G13"/>
    </sheetView>
  </sheetViews>
  <sheetFormatPr baseColWidth="10" defaultColWidth="11" defaultRowHeight="16" x14ac:dyDescent="0.2"/>
  <cols>
    <col min="2" max="2" width="21.33203125" customWidth="1"/>
    <col min="3" max="3" width="28" style="1" bestFit="1" customWidth="1"/>
    <col min="4" max="4" width="51.5" style="1" customWidth="1"/>
    <col min="5" max="5" width="27.83203125" style="1" bestFit="1" customWidth="1"/>
  </cols>
  <sheetData>
    <row r="1" spans="2:5" ht="24" x14ac:dyDescent="0.3">
      <c r="B1" s="8" t="s">
        <v>745</v>
      </c>
    </row>
    <row r="3" spans="2:5" x14ac:dyDescent="0.2">
      <c r="B3" t="s">
        <v>18</v>
      </c>
      <c r="C3" s="15" t="s">
        <v>746</v>
      </c>
      <c r="D3" s="15" t="s">
        <v>709</v>
      </c>
      <c r="E3" s="15" t="s">
        <v>507</v>
      </c>
    </row>
    <row r="4" spans="2:5" ht="34" x14ac:dyDescent="0.2">
      <c r="B4" s="98" t="s">
        <v>5</v>
      </c>
      <c r="C4" s="99" t="s">
        <v>747</v>
      </c>
      <c r="D4" s="99" t="s">
        <v>748</v>
      </c>
      <c r="E4" s="99" t="s">
        <v>749</v>
      </c>
    </row>
    <row r="5" spans="2:5" ht="34" x14ac:dyDescent="0.2">
      <c r="B5" s="98" t="s">
        <v>47</v>
      </c>
      <c r="C5" s="99" t="s">
        <v>750</v>
      </c>
      <c r="D5" s="99"/>
      <c r="E5" s="99"/>
    </row>
    <row r="6" spans="2:5" ht="51" x14ac:dyDescent="0.2">
      <c r="B6" s="98" t="s">
        <v>46</v>
      </c>
      <c r="C6" s="99" t="s">
        <v>751</v>
      </c>
      <c r="D6" s="99"/>
      <c r="E6" s="99" t="s">
        <v>752</v>
      </c>
    </row>
    <row r="7" spans="2:5" ht="17" x14ac:dyDescent="0.2">
      <c r="B7" s="98" t="s">
        <v>48</v>
      </c>
      <c r="C7" s="99" t="s">
        <v>753</v>
      </c>
      <c r="D7" s="99"/>
      <c r="E7" s="99" t="s">
        <v>754</v>
      </c>
    </row>
    <row r="8" spans="2:5" ht="34" x14ac:dyDescent="0.2">
      <c r="B8" s="98" t="s">
        <v>15</v>
      </c>
      <c r="C8" s="99" t="s">
        <v>755</v>
      </c>
      <c r="D8" s="99" t="s">
        <v>756</v>
      </c>
      <c r="E8" s="99" t="s">
        <v>757</v>
      </c>
    </row>
    <row r="9" spans="2:5" x14ac:dyDescent="0.2">
      <c r="B9" s="11"/>
      <c r="C9" s="12"/>
      <c r="D9" s="12"/>
      <c r="E9" s="12"/>
    </row>
    <row r="10" spans="2:5" x14ac:dyDescent="0.2">
      <c r="B10" s="11"/>
      <c r="C10" s="12"/>
      <c r="D10" s="12"/>
      <c r="E10" s="12"/>
    </row>
  </sheetData>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T30"/>
  <sheetViews>
    <sheetView workbookViewId="0">
      <selection activeCell="B1" sqref="B1"/>
    </sheetView>
  </sheetViews>
  <sheetFormatPr baseColWidth="10" defaultColWidth="11" defaultRowHeight="16" x14ac:dyDescent="0.2"/>
  <cols>
    <col min="2" max="2" width="26.33203125" customWidth="1"/>
    <col min="3" max="20" width="20.83203125" customWidth="1"/>
  </cols>
  <sheetData>
    <row r="1" spans="2:20" ht="24" x14ac:dyDescent="0.3">
      <c r="B1" s="8" t="s">
        <v>827</v>
      </c>
      <c r="C1" s="8"/>
      <c r="D1" s="8"/>
      <c r="E1" s="8"/>
      <c r="F1" s="8"/>
      <c r="G1" s="8"/>
      <c r="H1" s="8"/>
      <c r="I1" s="8"/>
      <c r="J1" s="8"/>
      <c r="K1" s="8"/>
      <c r="L1" s="8"/>
      <c r="M1" s="8"/>
      <c r="N1" s="8"/>
      <c r="O1" s="8"/>
      <c r="P1" s="8"/>
      <c r="Q1" s="8"/>
      <c r="R1" s="8"/>
    </row>
    <row r="3" spans="2:20" s="2" customFormat="1" ht="51" x14ac:dyDescent="0.2">
      <c r="B3" s="48" t="s">
        <v>3</v>
      </c>
      <c r="C3" s="48" t="s">
        <v>226</v>
      </c>
      <c r="D3" s="48" t="s">
        <v>837</v>
      </c>
      <c r="E3" s="48" t="s">
        <v>227</v>
      </c>
      <c r="F3" s="48" t="s">
        <v>228</v>
      </c>
      <c r="G3" s="48" t="s">
        <v>838</v>
      </c>
      <c r="H3" s="48" t="s">
        <v>229</v>
      </c>
      <c r="I3" s="48" t="s">
        <v>230</v>
      </c>
      <c r="J3" s="48" t="s">
        <v>839</v>
      </c>
      <c r="K3" s="48" t="s">
        <v>231</v>
      </c>
      <c r="L3" s="48" t="s">
        <v>236</v>
      </c>
      <c r="M3" s="48" t="s">
        <v>842</v>
      </c>
      <c r="N3" s="48" t="s">
        <v>237</v>
      </c>
      <c r="O3" s="49" t="s">
        <v>232</v>
      </c>
      <c r="P3" s="49" t="s">
        <v>840</v>
      </c>
      <c r="Q3" s="49" t="s">
        <v>233</v>
      </c>
      <c r="R3" s="49" t="s">
        <v>234</v>
      </c>
      <c r="S3" s="49" t="s">
        <v>841</v>
      </c>
      <c r="T3" s="49" t="s">
        <v>235</v>
      </c>
    </row>
    <row r="4" spans="2:20" x14ac:dyDescent="0.2">
      <c r="B4" s="27">
        <v>2001</v>
      </c>
      <c r="C4" s="57">
        <v>6</v>
      </c>
      <c r="D4" s="57">
        <v>6</v>
      </c>
      <c r="E4" s="57">
        <v>0</v>
      </c>
      <c r="F4" s="57">
        <v>4.74</v>
      </c>
      <c r="G4" s="57">
        <v>4.74</v>
      </c>
      <c r="H4" s="57">
        <v>0</v>
      </c>
      <c r="I4" s="57">
        <v>40</v>
      </c>
      <c r="J4" s="57">
        <v>40</v>
      </c>
      <c r="K4" s="57">
        <v>0</v>
      </c>
      <c r="L4" s="57">
        <v>40</v>
      </c>
      <c r="M4" s="57">
        <v>40</v>
      </c>
      <c r="N4" s="57">
        <v>0</v>
      </c>
      <c r="O4" s="47"/>
      <c r="P4" s="47"/>
      <c r="Q4" s="47"/>
      <c r="R4" s="47"/>
      <c r="S4" s="47"/>
      <c r="T4" s="47"/>
    </row>
    <row r="5" spans="2:20" x14ac:dyDescent="0.2">
      <c r="B5" s="17">
        <v>2002</v>
      </c>
      <c r="C5" s="43">
        <v>11</v>
      </c>
      <c r="D5" s="43">
        <v>11</v>
      </c>
      <c r="E5" s="43">
        <v>0</v>
      </c>
      <c r="F5" s="43">
        <v>17.75</v>
      </c>
      <c r="G5" s="43">
        <v>17.75</v>
      </c>
      <c r="H5" s="43">
        <v>0</v>
      </c>
      <c r="I5" s="43">
        <v>160</v>
      </c>
      <c r="J5" s="43">
        <v>160</v>
      </c>
      <c r="K5" s="43">
        <v>0</v>
      </c>
      <c r="L5" s="43">
        <v>160</v>
      </c>
      <c r="M5" s="43">
        <v>160</v>
      </c>
      <c r="N5" s="43">
        <v>0</v>
      </c>
      <c r="O5" s="40"/>
      <c r="P5" s="40"/>
      <c r="Q5" s="40"/>
      <c r="R5" s="40"/>
      <c r="S5" s="40"/>
      <c r="T5" s="40"/>
    </row>
    <row r="6" spans="2:20" x14ac:dyDescent="0.2">
      <c r="B6" s="17">
        <v>2003</v>
      </c>
      <c r="C6" s="43">
        <v>9.4878048780487791</v>
      </c>
      <c r="D6" s="43">
        <v>9.4878048780487791</v>
      </c>
      <c r="E6" s="43">
        <v>0</v>
      </c>
      <c r="F6" s="43">
        <v>10.0480487804878</v>
      </c>
      <c r="G6" s="43">
        <v>10.0480487804878</v>
      </c>
      <c r="H6" s="43">
        <v>0</v>
      </c>
      <c r="I6" s="43">
        <v>94.3</v>
      </c>
      <c r="J6" s="43">
        <v>94.3</v>
      </c>
      <c r="K6" s="43">
        <v>0</v>
      </c>
      <c r="L6" s="43">
        <v>148.20975609755999</v>
      </c>
      <c r="M6" s="43">
        <v>148.20975609755999</v>
      </c>
      <c r="N6" s="43">
        <v>0</v>
      </c>
      <c r="O6" s="40"/>
      <c r="P6" s="40"/>
      <c r="Q6" s="40"/>
      <c r="R6" s="40"/>
      <c r="S6" s="40"/>
      <c r="T6" s="40"/>
    </row>
    <row r="7" spans="2:20" x14ac:dyDescent="0.2">
      <c r="B7" s="17">
        <v>2004</v>
      </c>
      <c r="C7" s="43">
        <v>11.4084507042253</v>
      </c>
      <c r="D7" s="43">
        <v>11.4084507042253</v>
      </c>
      <c r="E7" s="43">
        <v>0</v>
      </c>
      <c r="F7" s="43">
        <v>9.8912676056338</v>
      </c>
      <c r="G7" s="43">
        <v>9.8912676056338</v>
      </c>
      <c r="H7" s="43">
        <v>0</v>
      </c>
      <c r="I7" s="43">
        <v>42.6</v>
      </c>
      <c r="J7" s="43">
        <v>42.6</v>
      </c>
      <c r="K7" s="43">
        <v>0</v>
      </c>
      <c r="L7" s="43">
        <v>49.707042253521102</v>
      </c>
      <c r="M7" s="43">
        <v>49.707042253521102</v>
      </c>
      <c r="N7" s="43">
        <v>0</v>
      </c>
      <c r="O7" s="40"/>
      <c r="P7" s="40"/>
      <c r="Q7" s="40"/>
      <c r="R7" s="40"/>
      <c r="S7" s="40"/>
      <c r="T7" s="40"/>
    </row>
    <row r="8" spans="2:20" x14ac:dyDescent="0.2">
      <c r="B8" s="17">
        <v>2005</v>
      </c>
      <c r="C8" s="43">
        <v>4.5</v>
      </c>
      <c r="D8" s="43">
        <v>4.5</v>
      </c>
      <c r="E8" s="43">
        <v>0</v>
      </c>
      <c r="F8" s="43">
        <v>9.85</v>
      </c>
      <c r="G8" s="43">
        <v>9.85</v>
      </c>
      <c r="H8" s="43">
        <v>0</v>
      </c>
      <c r="I8" s="43">
        <v>90</v>
      </c>
      <c r="J8" s="43">
        <v>90</v>
      </c>
      <c r="K8" s="43">
        <v>0</v>
      </c>
      <c r="L8" s="43">
        <v>90</v>
      </c>
      <c r="M8" s="43">
        <v>90</v>
      </c>
      <c r="N8" s="43">
        <v>0</v>
      </c>
      <c r="O8" s="40">
        <v>10.455863277224299</v>
      </c>
      <c r="P8" s="40">
        <v>10.455863277224299</v>
      </c>
      <c r="Q8" s="40">
        <v>0</v>
      </c>
      <c r="R8" s="40">
        <v>8.4792511164548205</v>
      </c>
      <c r="S8" s="40">
        <v>8.4792511164548205</v>
      </c>
      <c r="T8" s="40">
        <v>0</v>
      </c>
    </row>
    <row r="9" spans="2:20" x14ac:dyDescent="0.2">
      <c r="B9" s="17">
        <v>2006</v>
      </c>
      <c r="C9" s="43">
        <v>16</v>
      </c>
      <c r="D9" s="43">
        <v>16</v>
      </c>
      <c r="E9" s="43">
        <v>0</v>
      </c>
      <c r="F9" s="43">
        <v>12.739999999999901</v>
      </c>
      <c r="G9" s="43">
        <v>12.739999999999901</v>
      </c>
      <c r="H9" s="43">
        <v>0</v>
      </c>
      <c r="I9" s="43">
        <v>90</v>
      </c>
      <c r="J9" s="43">
        <v>90</v>
      </c>
      <c r="K9" s="43">
        <v>0</v>
      </c>
      <c r="L9" s="43">
        <v>90</v>
      </c>
      <c r="M9" s="43">
        <v>90</v>
      </c>
      <c r="N9" s="43">
        <v>0</v>
      </c>
      <c r="O9" s="40">
        <v>12.055863277224301</v>
      </c>
      <c r="P9" s="40">
        <v>12.055863277224301</v>
      </c>
      <c r="Q9" s="40">
        <v>0</v>
      </c>
      <c r="R9" s="40">
        <v>10.479251116454799</v>
      </c>
      <c r="S9" s="40">
        <v>10.479251116454799</v>
      </c>
      <c r="T9" s="40">
        <v>0</v>
      </c>
    </row>
    <row r="10" spans="2:20" x14ac:dyDescent="0.2">
      <c r="B10" s="17">
        <v>2007</v>
      </c>
      <c r="C10" s="43">
        <v>15.4725274725274</v>
      </c>
      <c r="D10" s="43">
        <v>15.4725274725274</v>
      </c>
      <c r="E10" s="43">
        <v>0</v>
      </c>
      <c r="F10" s="43">
        <v>11.4148351648351</v>
      </c>
      <c r="G10" s="43">
        <v>11.4148351648351</v>
      </c>
      <c r="H10" s="43">
        <v>0</v>
      </c>
      <c r="I10" s="43">
        <v>109.2</v>
      </c>
      <c r="J10" s="43">
        <v>109.2</v>
      </c>
      <c r="K10" s="43">
        <v>0</v>
      </c>
      <c r="L10" s="43">
        <v>109.213186813186</v>
      </c>
      <c r="M10" s="43">
        <v>109.213186813186</v>
      </c>
      <c r="N10" s="43">
        <v>0</v>
      </c>
      <c r="O10" s="40">
        <v>10.788830310191299</v>
      </c>
      <c r="P10" s="40">
        <v>10.788830310191299</v>
      </c>
      <c r="Q10" s="40">
        <v>0</v>
      </c>
      <c r="R10" s="40">
        <v>11.373756610960299</v>
      </c>
      <c r="S10" s="40">
        <v>11.373756610960299</v>
      </c>
      <c r="T10" s="40">
        <v>0</v>
      </c>
    </row>
    <row r="11" spans="2:20" x14ac:dyDescent="0.2">
      <c r="B11" s="17">
        <v>2008</v>
      </c>
      <c r="C11" s="43">
        <v>24</v>
      </c>
      <c r="D11" s="43">
        <v>24</v>
      </c>
      <c r="E11" s="43">
        <v>0</v>
      </c>
      <c r="F11" s="43">
        <v>26.43</v>
      </c>
      <c r="G11" s="43">
        <v>26.43</v>
      </c>
      <c r="H11" s="43">
        <v>0</v>
      </c>
      <c r="I11" s="43">
        <v>120</v>
      </c>
      <c r="J11" s="43">
        <v>120</v>
      </c>
      <c r="K11" s="43">
        <v>0</v>
      </c>
      <c r="L11" s="43">
        <v>120</v>
      </c>
      <c r="M11" s="43">
        <v>120</v>
      </c>
      <c r="N11" s="43">
        <v>0</v>
      </c>
      <c r="O11" s="40">
        <v>14.065220554093701</v>
      </c>
      <c r="P11" s="40">
        <v>14.065220554093701</v>
      </c>
      <c r="Q11" s="40">
        <v>0</v>
      </c>
      <c r="R11" s="40">
        <v>14.276195635350501</v>
      </c>
      <c r="S11" s="40">
        <v>14.276195635350501</v>
      </c>
      <c r="T11" s="40">
        <v>0</v>
      </c>
    </row>
    <row r="12" spans="2:20" x14ac:dyDescent="0.2">
      <c r="B12" s="17">
        <v>2009</v>
      </c>
      <c r="C12" s="43">
        <v>11.219677996422099</v>
      </c>
      <c r="D12" s="43">
        <v>11.219677996422099</v>
      </c>
      <c r="E12" s="43">
        <v>0</v>
      </c>
      <c r="F12" s="43">
        <v>9.5983363148479395</v>
      </c>
      <c r="G12" s="43">
        <v>9.5983363148479395</v>
      </c>
      <c r="H12" s="43">
        <v>0</v>
      </c>
      <c r="I12" s="43">
        <v>67.08</v>
      </c>
      <c r="J12" s="43">
        <v>67.08</v>
      </c>
      <c r="K12" s="43">
        <v>0</v>
      </c>
      <c r="L12" s="43">
        <v>84.486225402504402</v>
      </c>
      <c r="M12" s="43">
        <v>84.486225402504402</v>
      </c>
      <c r="N12" s="43">
        <v>0</v>
      </c>
      <c r="O12" s="40">
        <v>14.0066342959366</v>
      </c>
      <c r="P12" s="40">
        <v>14.0066342959366</v>
      </c>
      <c r="Q12" s="40">
        <v>0</v>
      </c>
      <c r="R12" s="40">
        <v>14.2384410937899</v>
      </c>
      <c r="S12" s="40">
        <v>14.2384410937899</v>
      </c>
      <c r="T12" s="40">
        <v>0</v>
      </c>
    </row>
    <row r="13" spans="2:20" x14ac:dyDescent="0.2">
      <c r="B13" s="17">
        <v>2010</v>
      </c>
      <c r="C13" s="43">
        <v>18.212307102463299</v>
      </c>
      <c r="D13" s="43">
        <v>19.167215552958599</v>
      </c>
      <c r="E13" s="43">
        <v>9.4</v>
      </c>
      <c r="F13" s="43">
        <v>25.240932617655499</v>
      </c>
      <c r="G13" s="43">
        <v>26.245538085626201</v>
      </c>
      <c r="H13" s="43">
        <v>15.97</v>
      </c>
      <c r="I13" s="43">
        <v>173.88333333333301</v>
      </c>
      <c r="J13" s="43">
        <v>188.26</v>
      </c>
      <c r="K13" s="43">
        <v>102</v>
      </c>
      <c r="L13" s="43">
        <v>208.84164669797701</v>
      </c>
      <c r="M13" s="43">
        <v>220.41909061935601</v>
      </c>
      <c r="N13" s="43">
        <v>102</v>
      </c>
      <c r="O13" s="40">
        <v>17.084820819467701</v>
      </c>
      <c r="P13" s="40">
        <v>17.285741913061798</v>
      </c>
      <c r="Q13" s="40">
        <v>3.194</v>
      </c>
      <c r="R13" s="40">
        <v>16.980902514282501</v>
      </c>
      <c r="S13" s="40">
        <v>17.171884204381598</v>
      </c>
      <c r="T13" s="40">
        <v>1.88</v>
      </c>
    </row>
    <row r="14" spans="2:20" x14ac:dyDescent="0.2">
      <c r="B14" s="17">
        <v>2011</v>
      </c>
      <c r="C14" s="43">
        <v>22.166882276843399</v>
      </c>
      <c r="D14" s="43">
        <v>22.166882276843399</v>
      </c>
      <c r="E14" s="43">
        <v>0</v>
      </c>
      <c r="F14" s="43">
        <v>18.818033635187501</v>
      </c>
      <c r="G14" s="43">
        <v>18.818033635187501</v>
      </c>
      <c r="H14" s="43">
        <v>0</v>
      </c>
      <c r="I14" s="43">
        <v>115.94999999999899</v>
      </c>
      <c r="J14" s="43">
        <v>115.94999999999899</v>
      </c>
      <c r="K14" s="43">
        <v>0</v>
      </c>
      <c r="L14" s="43">
        <v>155.41979301423001</v>
      </c>
      <c r="M14" s="43">
        <v>155.41979301423001</v>
      </c>
      <c r="N14" s="43">
        <v>0</v>
      </c>
      <c r="O14" s="40">
        <v>18.300427546505201</v>
      </c>
      <c r="P14" s="40">
        <v>18.501348640099302</v>
      </c>
      <c r="Q14" s="40">
        <v>3.194</v>
      </c>
      <c r="R14" s="40">
        <v>18.2142789696512</v>
      </c>
      <c r="S14" s="40">
        <v>18.405260659750301</v>
      </c>
      <c r="T14" s="40">
        <v>1.88</v>
      </c>
    </row>
    <row r="15" spans="2:20" x14ac:dyDescent="0.2">
      <c r="B15" s="17">
        <v>2012</v>
      </c>
      <c r="C15" s="43">
        <v>25.9532374100719</v>
      </c>
      <c r="D15" s="43">
        <v>25.9532374100719</v>
      </c>
      <c r="E15" s="43">
        <v>0</v>
      </c>
      <c r="F15" s="43">
        <v>17.619496402877601</v>
      </c>
      <c r="G15" s="43">
        <v>17.619496402877601</v>
      </c>
      <c r="H15" s="43">
        <v>0</v>
      </c>
      <c r="I15" s="43">
        <v>166.8</v>
      </c>
      <c r="J15" s="43">
        <v>166.8</v>
      </c>
      <c r="K15" s="43">
        <v>0</v>
      </c>
      <c r="L15" s="43">
        <v>168.492086330935</v>
      </c>
      <c r="M15" s="43">
        <v>168.492086330935</v>
      </c>
      <c r="N15" s="43">
        <v>0</v>
      </c>
      <c r="O15" s="40">
        <v>19.541359794113699</v>
      </c>
      <c r="P15" s="40">
        <v>19.742280887707899</v>
      </c>
      <c r="Q15" s="40">
        <v>3.194</v>
      </c>
      <c r="R15" s="40">
        <v>20.310420957160101</v>
      </c>
      <c r="S15" s="40">
        <v>20.501402647259201</v>
      </c>
      <c r="T15" s="40">
        <v>1.88</v>
      </c>
    </row>
    <row r="16" spans="2:20" x14ac:dyDescent="0.2">
      <c r="B16" s="17">
        <v>2013</v>
      </c>
      <c r="C16" s="43">
        <v>27.470382080513001</v>
      </c>
      <c r="D16" s="43">
        <v>27.470382080513001</v>
      </c>
      <c r="E16" s="43">
        <v>0</v>
      </c>
      <c r="F16" s="43">
        <v>39.277967135732098</v>
      </c>
      <c r="G16" s="43">
        <v>39.277967135732098</v>
      </c>
      <c r="H16" s="43">
        <v>0</v>
      </c>
      <c r="I16" s="43">
        <v>249.51111111111101</v>
      </c>
      <c r="J16" s="43">
        <v>249.51111111111101</v>
      </c>
      <c r="K16" s="43">
        <v>0</v>
      </c>
      <c r="L16" s="43">
        <v>354.33787851799002</v>
      </c>
      <c r="M16" s="43">
        <v>354.33787851799002</v>
      </c>
      <c r="N16" s="43">
        <v>0</v>
      </c>
      <c r="O16" s="40">
        <v>22.1109532212601</v>
      </c>
      <c r="P16" s="40">
        <v>22.3118743148543</v>
      </c>
      <c r="Q16" s="40">
        <v>3.194</v>
      </c>
      <c r="R16" s="40">
        <v>21.004497373262701</v>
      </c>
      <c r="S16" s="40">
        <v>21.195479063361802</v>
      </c>
      <c r="T16" s="40">
        <v>1.88</v>
      </c>
    </row>
    <row r="17" spans="2:20" x14ac:dyDescent="0.2">
      <c r="B17" s="17">
        <v>2014</v>
      </c>
      <c r="C17" s="43">
        <v>23.059730975449099</v>
      </c>
      <c r="D17" s="43">
        <v>23.059730975449099</v>
      </c>
      <c r="E17" s="43">
        <v>0</v>
      </c>
      <c r="F17" s="43">
        <v>33.935579907816702</v>
      </c>
      <c r="G17" s="43">
        <v>33.935579907816702</v>
      </c>
      <c r="H17" s="43">
        <v>0</v>
      </c>
      <c r="I17" s="43">
        <v>212.61999999999901</v>
      </c>
      <c r="J17" s="43">
        <v>212.61999999999901</v>
      </c>
      <c r="K17" s="43">
        <v>0</v>
      </c>
      <c r="L17" s="43">
        <v>278.84621390273702</v>
      </c>
      <c r="M17" s="43">
        <v>278.84621390273702</v>
      </c>
      <c r="N17" s="43">
        <v>0</v>
      </c>
      <c r="O17" s="40">
        <v>26.978401939853899</v>
      </c>
      <c r="P17" s="40">
        <v>27.179323033448</v>
      </c>
      <c r="Q17" s="40">
        <v>3.194</v>
      </c>
      <c r="R17" s="40">
        <v>23.372507969068099</v>
      </c>
      <c r="S17" s="40">
        <v>23.5634896591672</v>
      </c>
      <c r="T17" s="40">
        <v>1.88</v>
      </c>
    </row>
    <row r="18" spans="2:20" x14ac:dyDescent="0.2">
      <c r="B18" s="17">
        <v>2015</v>
      </c>
      <c r="C18" s="43">
        <v>28.6982677773487</v>
      </c>
      <c r="D18" s="43">
        <v>29.343008667883201</v>
      </c>
      <c r="E18" s="43">
        <v>9.5676818950930596</v>
      </c>
      <c r="F18" s="43">
        <v>45.1670441882275</v>
      </c>
      <c r="G18" s="43">
        <v>46.292798243613099</v>
      </c>
      <c r="H18" s="43">
        <v>11.763959390862899</v>
      </c>
      <c r="I18" s="43">
        <v>258.957142857142</v>
      </c>
      <c r="J18" s="43">
        <v>292.26666666666603</v>
      </c>
      <c r="K18" s="43">
        <v>59.1</v>
      </c>
      <c r="L18" s="43">
        <v>324.29576874275898</v>
      </c>
      <c r="M18" s="43">
        <v>332.17411040145902</v>
      </c>
      <c r="N18" s="43">
        <v>90.531641285955999</v>
      </c>
      <c r="O18" s="40">
        <v>30.963624253968302</v>
      </c>
      <c r="P18" s="40">
        <v>31.188775065045402</v>
      </c>
      <c r="Q18" s="40">
        <v>2.3527918781725798</v>
      </c>
      <c r="R18" s="40">
        <v>25.469700104045199</v>
      </c>
      <c r="S18" s="40">
        <v>25.598648282152102</v>
      </c>
      <c r="T18" s="40">
        <v>1.91353637901861</v>
      </c>
    </row>
    <row r="19" spans="2:20" x14ac:dyDescent="0.2">
      <c r="B19" s="17">
        <v>2016</v>
      </c>
      <c r="C19" s="43">
        <v>26.2022716736207</v>
      </c>
      <c r="D19" s="43">
        <v>33.705882352941103</v>
      </c>
      <c r="E19" s="43">
        <v>7.8920255183413</v>
      </c>
      <c r="F19" s="43">
        <v>34.917848864163098</v>
      </c>
      <c r="G19" s="43">
        <v>43.503235294117601</v>
      </c>
      <c r="H19" s="43">
        <v>13.9678628389154</v>
      </c>
      <c r="I19" s="43">
        <v>172.56</v>
      </c>
      <c r="J19" s="43">
        <v>306</v>
      </c>
      <c r="K19" s="43">
        <v>83.6</v>
      </c>
      <c r="L19" s="43">
        <v>419.89411219286001</v>
      </c>
      <c r="M19" s="43">
        <v>554.94117647058795</v>
      </c>
      <c r="N19" s="43">
        <v>90.353429027113194</v>
      </c>
      <c r="O19" s="40">
        <v>34.183587299763403</v>
      </c>
      <c r="P19" s="40">
        <v>36.125815396831399</v>
      </c>
      <c r="Q19" s="40">
        <v>5.1463644459556797</v>
      </c>
      <c r="R19" s="40">
        <v>26.276777983400699</v>
      </c>
      <c r="S19" s="40">
        <v>27.9064482973716</v>
      </c>
      <c r="T19" s="40">
        <v>3.4919414826868702</v>
      </c>
    </row>
    <row r="20" spans="2:20" x14ac:dyDescent="0.2">
      <c r="B20" s="17">
        <v>2017</v>
      </c>
      <c r="C20" s="43">
        <v>27.855725689404899</v>
      </c>
      <c r="D20" s="43">
        <v>29.1730540328895</v>
      </c>
      <c r="E20" s="43">
        <v>11.1999999999999</v>
      </c>
      <c r="F20" s="43">
        <v>58.122165457184302</v>
      </c>
      <c r="G20" s="43">
        <v>61.941671104150302</v>
      </c>
      <c r="H20" s="43">
        <v>9.83</v>
      </c>
      <c r="I20" s="43">
        <v>306.222222222222</v>
      </c>
      <c r="J20" s="43">
        <v>319.25</v>
      </c>
      <c r="K20" s="43">
        <v>202</v>
      </c>
      <c r="L20" s="43">
        <v>370.58909288824299</v>
      </c>
      <c r="M20" s="43">
        <v>383.92307752545003</v>
      </c>
      <c r="N20" s="43">
        <v>202</v>
      </c>
      <c r="O20" s="40">
        <v>42.284121110624703</v>
      </c>
      <c r="P20" s="40">
        <v>44.990250337086003</v>
      </c>
      <c r="Q20" s="40">
        <v>7.1123644459556798</v>
      </c>
      <c r="R20" s="40">
        <v>26.657275639267301</v>
      </c>
      <c r="S20" s="40">
        <v>28.550411621935201</v>
      </c>
      <c r="T20" s="40">
        <v>5.73194148268687</v>
      </c>
    </row>
    <row r="21" spans="2:20" x14ac:dyDescent="0.2">
      <c r="B21" s="17">
        <v>2018</v>
      </c>
      <c r="C21" s="43">
        <v>39.680741410488203</v>
      </c>
      <c r="D21" s="43">
        <v>45.437972676262497</v>
      </c>
      <c r="E21" s="43">
        <v>12.802733485193601</v>
      </c>
      <c r="F21" s="43">
        <v>32.838190425959397</v>
      </c>
      <c r="G21" s="43">
        <v>33.046038972920201</v>
      </c>
      <c r="H21" s="43">
        <v>31.867835990888299</v>
      </c>
      <c r="I21" s="43">
        <v>331.8</v>
      </c>
      <c r="J21" s="43">
        <v>327.91999999999899</v>
      </c>
      <c r="K21" s="43">
        <v>351.2</v>
      </c>
      <c r="L21" s="43">
        <v>435.14119449467501</v>
      </c>
      <c r="M21" s="43">
        <v>451.668827762869</v>
      </c>
      <c r="N21" s="43">
        <v>357.98086560364402</v>
      </c>
      <c r="O21" s="40">
        <v>40.996165768670203</v>
      </c>
      <c r="P21" s="40">
        <v>43.743864704523602</v>
      </c>
      <c r="Q21" s="40">
        <v>13.4859316441333</v>
      </c>
      <c r="R21" s="40">
        <v>29.099347505262301</v>
      </c>
      <c r="S21" s="40">
        <v>32.143929741085103</v>
      </c>
      <c r="T21" s="40">
        <v>8.2924881797255896</v>
      </c>
    </row>
    <row r="22" spans="2:20" x14ac:dyDescent="0.2">
      <c r="B22" s="17">
        <v>2019</v>
      </c>
      <c r="C22" s="43">
        <v>32.097993990260001</v>
      </c>
      <c r="D22" s="43">
        <v>35.371706830727298</v>
      </c>
      <c r="E22" s="43">
        <v>13.2218171620863</v>
      </c>
      <c r="F22" s="43">
        <v>65.689637964977706</v>
      </c>
      <c r="G22" s="43">
        <v>71.053141550956894</v>
      </c>
      <c r="H22" s="43">
        <v>34.763760515984202</v>
      </c>
      <c r="I22" s="43">
        <v>402.125</v>
      </c>
      <c r="J22" s="43">
        <v>514.03750000000002</v>
      </c>
      <c r="K22" s="43">
        <v>178.3</v>
      </c>
      <c r="L22" s="43">
        <v>608.72609884986002</v>
      </c>
      <c r="M22" s="43">
        <v>667.95492789922901</v>
      </c>
      <c r="N22" s="43">
        <v>267.21360067302197</v>
      </c>
      <c r="O22" s="40">
        <v>47.346977380102402</v>
      </c>
      <c r="P22" s="40">
        <v>51.167377033151602</v>
      </c>
      <c r="Q22" s="40">
        <v>20.438683747330199</v>
      </c>
      <c r="R22" s="40">
        <v>30.907000108224501</v>
      </c>
      <c r="S22" s="40">
        <v>34.6063249121407</v>
      </c>
      <c r="T22" s="40">
        <v>10.936851612142799</v>
      </c>
    </row>
    <row r="23" spans="2:20" x14ac:dyDescent="0.2">
      <c r="B23" s="17">
        <v>2020</v>
      </c>
      <c r="C23" s="43">
        <v>29.605185144267001</v>
      </c>
      <c r="D23" s="43">
        <v>36.5376876644482</v>
      </c>
      <c r="E23" s="43">
        <v>19.427285948009398</v>
      </c>
      <c r="F23" s="43">
        <v>37.4208656023863</v>
      </c>
      <c r="G23" s="43">
        <v>46.725242222566102</v>
      </c>
      <c r="H23" s="43">
        <v>23.7607180512634</v>
      </c>
      <c r="I23" s="43">
        <v>301.71666666666601</v>
      </c>
      <c r="J23" s="43">
        <v>358.944444444444</v>
      </c>
      <c r="K23" s="43">
        <v>244.488888888888</v>
      </c>
      <c r="L23" s="43">
        <v>449.63748365832498</v>
      </c>
      <c r="M23" s="43">
        <v>566.778904194397</v>
      </c>
      <c r="N23" s="43">
        <v>277.657225958916</v>
      </c>
      <c r="O23" s="40">
        <v>45.7977416629342</v>
      </c>
      <c r="P23" s="40">
        <v>51.253865828942203</v>
      </c>
      <c r="Q23" s="40">
        <v>22.838035479410301</v>
      </c>
      <c r="R23" s="40">
        <v>31.088383581608198</v>
      </c>
      <c r="S23" s="40">
        <v>36.0452607114537</v>
      </c>
      <c r="T23" s="40">
        <v>12.9087724227261</v>
      </c>
    </row>
    <row r="24" spans="2:20" x14ac:dyDescent="0.2">
      <c r="B24" s="17">
        <v>2021</v>
      </c>
      <c r="C24" s="43">
        <v>23.515181417075802</v>
      </c>
      <c r="D24" s="43">
        <v>33.461445783132497</v>
      </c>
      <c r="E24" s="43">
        <v>21.191348465284602</v>
      </c>
      <c r="F24" s="43">
        <v>31.876247202431198</v>
      </c>
      <c r="G24" s="43">
        <v>28.834596083448801</v>
      </c>
      <c r="H24" s="43">
        <v>32.586894822281899</v>
      </c>
      <c r="I24" s="43">
        <v>309.51354166666601</v>
      </c>
      <c r="J24" s="43">
        <v>562.74</v>
      </c>
      <c r="K24" s="43">
        <v>280.06860465116199</v>
      </c>
      <c r="L24" s="43">
        <v>397.41394476547498</v>
      </c>
      <c r="M24" s="43">
        <v>764.04531044532098</v>
      </c>
      <c r="N24" s="43">
        <v>311.75464421092801</v>
      </c>
      <c r="O24" s="40">
        <v>45.189421330587798</v>
      </c>
      <c r="P24" s="40">
        <v>48.320137986808398</v>
      </c>
      <c r="Q24" s="40">
        <v>26.561841876083498</v>
      </c>
      <c r="R24" s="40">
        <v>30.550965530299202</v>
      </c>
      <c r="S24" s="40">
        <v>35.996373397492</v>
      </c>
      <c r="T24" s="40">
        <v>15.568637012114801</v>
      </c>
    </row>
    <row r="25" spans="2:20" x14ac:dyDescent="0.2">
      <c r="B25" s="17">
        <v>2022</v>
      </c>
      <c r="C25" s="43">
        <v>35.132347132263902</v>
      </c>
      <c r="D25" s="43">
        <v>53.784191829484897</v>
      </c>
      <c r="E25" s="43">
        <v>28.3614109087782</v>
      </c>
      <c r="F25" s="43">
        <v>40.756880674269802</v>
      </c>
      <c r="G25" s="43">
        <v>65.7566962699822</v>
      </c>
      <c r="H25" s="43">
        <v>31.681523263498899</v>
      </c>
      <c r="I25" s="43">
        <v>373.039705882352</v>
      </c>
      <c r="J25" s="43">
        <v>675.6</v>
      </c>
      <c r="K25" s="43">
        <v>320.874137931034</v>
      </c>
      <c r="L25" s="43">
        <v>570.71170570078095</v>
      </c>
      <c r="M25" s="43">
        <v>1056.5008880994601</v>
      </c>
      <c r="N25" s="43">
        <v>394.36198665283899</v>
      </c>
      <c r="O25" s="40">
        <v>41.716364374004897</v>
      </c>
      <c r="P25" s="40">
        <v>49.083143019974798</v>
      </c>
      <c r="Q25" s="40">
        <v>30.932146528783299</v>
      </c>
      <c r="R25" s="40">
        <v>32.006289818870997</v>
      </c>
      <c r="S25" s="40">
        <v>40.918600956811098</v>
      </c>
      <c r="T25" s="40">
        <v>19.000919193870399</v>
      </c>
    </row>
    <row r="26" spans="2:20" x14ac:dyDescent="0.2">
      <c r="B26" s="17">
        <v>2023</v>
      </c>
      <c r="C26" s="43">
        <v>29.7377741121676</v>
      </c>
      <c r="D26" s="43">
        <v>30.687416058394099</v>
      </c>
      <c r="E26" s="43">
        <v>25.0739891023802</v>
      </c>
      <c r="F26" s="43">
        <v>40.795434213079702</v>
      </c>
      <c r="G26" s="43">
        <v>45.9394817518248</v>
      </c>
      <c r="H26" s="43">
        <v>15.5325107542299</v>
      </c>
      <c r="I26" s="43">
        <v>392.60952380952301</v>
      </c>
      <c r="J26" s="43">
        <v>526.923076923076</v>
      </c>
      <c r="K26" s="43">
        <v>174.35</v>
      </c>
      <c r="L26" s="43">
        <v>644.96041141082799</v>
      </c>
      <c r="M26" s="43">
        <v>719.19416058394097</v>
      </c>
      <c r="N26" s="43">
        <v>280.39116719242799</v>
      </c>
      <c r="O26" s="40">
        <v>43.307813131428901</v>
      </c>
      <c r="P26" s="40">
        <v>51.661831575755798</v>
      </c>
      <c r="Q26" s="40">
        <v>27.665081481451701</v>
      </c>
      <c r="R26" s="40">
        <v>30.017696359206901</v>
      </c>
      <c r="S26" s="40">
        <v>37.968489633237397</v>
      </c>
      <c r="T26" s="40">
        <v>21.4551703173078</v>
      </c>
    </row>
    <row r="27" spans="2:20" x14ac:dyDescent="0.2">
      <c r="B27" s="17">
        <v>2024</v>
      </c>
      <c r="C27" s="43">
        <v>41.7371276665286</v>
      </c>
      <c r="D27" s="43">
        <v>42.8389295149125</v>
      </c>
      <c r="E27" s="43">
        <v>40.281784161019502</v>
      </c>
      <c r="F27" s="43">
        <v>40.669608654914597</v>
      </c>
      <c r="G27" s="43">
        <v>32.6347406102837</v>
      </c>
      <c r="H27" s="43">
        <v>51.282672195812602</v>
      </c>
      <c r="I27" s="43">
        <v>458.93</v>
      </c>
      <c r="J27" s="43">
        <v>435.31666666666598</v>
      </c>
      <c r="K27" s="43">
        <v>494.35</v>
      </c>
      <c r="L27" s="43">
        <v>689.85538644237602</v>
      </c>
      <c r="M27" s="43">
        <v>643.29125349362505</v>
      </c>
      <c r="N27" s="43">
        <v>751.36082734904403</v>
      </c>
      <c r="O27" s="40">
        <v>38.303807269416303</v>
      </c>
      <c r="P27" s="40">
        <v>43.978151387621097</v>
      </c>
      <c r="Q27" s="40">
        <v>30.968863817417301</v>
      </c>
      <c r="R27" s="40">
        <v>31.945523094460601</v>
      </c>
      <c r="S27" s="40">
        <v>39.4619341700744</v>
      </c>
      <c r="T27" s="40">
        <v>26.8671637170944</v>
      </c>
    </row>
    <row r="28" spans="2:20" x14ac:dyDescent="0.2">
      <c r="B28" s="17">
        <v>2025</v>
      </c>
      <c r="C28" s="43">
        <v>43.168795022920698</v>
      </c>
      <c r="D28" s="43">
        <v>44.394573428786103</v>
      </c>
      <c r="E28" s="43">
        <v>40.706545055852999</v>
      </c>
      <c r="F28" s="43">
        <v>62.161829646999102</v>
      </c>
      <c r="G28" s="43">
        <v>73.853220345686793</v>
      </c>
      <c r="H28" s="43">
        <v>38.677057664500303</v>
      </c>
      <c r="I28" s="43">
        <v>573.78181818181804</v>
      </c>
      <c r="J28" s="43">
        <v>702.30555555555497</v>
      </c>
      <c r="K28" s="43">
        <v>419.553333333333</v>
      </c>
      <c r="L28" s="43">
        <v>1092.57175042778</v>
      </c>
      <c r="M28" s="43">
        <v>1328.59773365502</v>
      </c>
      <c r="N28" s="43">
        <v>618.46079640252299</v>
      </c>
      <c r="O28" s="40">
        <v>43.252000078338902</v>
      </c>
      <c r="P28" s="40">
        <v>49.403747012245198</v>
      </c>
      <c r="Q28" s="40">
        <v>33.952131740064701</v>
      </c>
      <c r="R28" s="40">
        <v>34.658245070191299</v>
      </c>
      <c r="S28" s="40">
        <v>41.033311322941998</v>
      </c>
      <c r="T28" s="40">
        <v>31.1230155386631</v>
      </c>
    </row>
    <row r="29" spans="2:20" x14ac:dyDescent="0.2">
      <c r="B29" s="17">
        <v>2026</v>
      </c>
      <c r="C29" s="43">
        <v>40.081484210262701</v>
      </c>
      <c r="D29" s="43">
        <v>38.372135135135103</v>
      </c>
      <c r="E29" s="43">
        <v>45.383024336269202</v>
      </c>
      <c r="F29" s="43">
        <v>55.329932239553699</v>
      </c>
      <c r="G29" s="43">
        <v>63.972135135135098</v>
      </c>
      <c r="H29" s="43">
        <v>28.526170448187099</v>
      </c>
      <c r="I29" s="43">
        <v>674.89275862068905</v>
      </c>
      <c r="J29" s="43">
        <v>778.94736842105203</v>
      </c>
      <c r="K29" s="43">
        <v>477.18900000000002</v>
      </c>
      <c r="L29" s="43">
        <v>1135.31853132732</v>
      </c>
      <c r="M29" s="43">
        <v>1206.0506756756699</v>
      </c>
      <c r="N29" s="43">
        <v>915.94303517055096</v>
      </c>
      <c r="O29" s="40">
        <v>47.942737085763397</v>
      </c>
      <c r="P29" s="40">
        <v>56.431254822582503</v>
      </c>
      <c r="Q29" s="40">
        <v>33.139986865245803</v>
      </c>
      <c r="R29" s="40">
        <v>37.971505628828702</v>
      </c>
      <c r="S29" s="40">
        <v>42.015449193342498</v>
      </c>
      <c r="T29" s="40">
        <v>35.961350712860003</v>
      </c>
    </row>
    <row r="30" spans="2:20" x14ac:dyDescent="0.2">
      <c r="B30" s="79">
        <v>2027</v>
      </c>
      <c r="C30" s="103">
        <v>43.712663230017398</v>
      </c>
      <c r="D30" s="103">
        <v>42.253406517085701</v>
      </c>
      <c r="E30" s="103">
        <v>51.1023622047244</v>
      </c>
      <c r="F30" s="103">
        <v>47.365641688199801</v>
      </c>
      <c r="G30" s="103">
        <v>46.616565287474202</v>
      </c>
      <c r="H30" s="103">
        <v>51.158976377952698</v>
      </c>
      <c r="I30" s="103">
        <v>1100.18571428571</v>
      </c>
      <c r="J30" s="103">
        <v>1071.88333333333</v>
      </c>
      <c r="K30" s="103">
        <v>1270</v>
      </c>
      <c r="L30" s="103">
        <v>1597.56880916208</v>
      </c>
      <c r="M30" s="103">
        <v>1425.6303811048999</v>
      </c>
      <c r="N30" s="103">
        <v>2468.2677165354298</v>
      </c>
      <c r="O30" s="104">
        <v>49.264489288549399</v>
      </c>
      <c r="P30" s="104">
        <v>52.603228626080899</v>
      </c>
      <c r="Q30" s="104">
        <v>37.0354774881366</v>
      </c>
      <c r="R30" s="104">
        <v>39.687568848379399</v>
      </c>
      <c r="S30" s="104">
        <v>39.7092921308627</v>
      </c>
      <c r="T30" s="104">
        <v>40.509540972049301</v>
      </c>
    </row>
  </sheetData>
  <phoneticPr fontId="5" type="noConversion"/>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18"/>
  <sheetViews>
    <sheetView workbookViewId="0">
      <selection activeCell="B2" sqref="B2"/>
    </sheetView>
  </sheetViews>
  <sheetFormatPr baseColWidth="10" defaultColWidth="11" defaultRowHeight="16" x14ac:dyDescent="0.2"/>
  <cols>
    <col min="2" max="3" width="26.6640625" style="3" customWidth="1"/>
    <col min="4" max="4" width="13.1640625" style="3" bestFit="1" customWidth="1"/>
    <col min="5" max="6" width="17.6640625" style="1" customWidth="1"/>
  </cols>
  <sheetData>
    <row r="1" spans="2:6" ht="24" x14ac:dyDescent="0.3">
      <c r="B1" s="7" t="s">
        <v>828</v>
      </c>
      <c r="C1" s="7"/>
      <c r="D1" s="7"/>
    </row>
    <row r="3" spans="2:6" x14ac:dyDescent="0.2">
      <c r="B3" s="51" t="s">
        <v>69</v>
      </c>
      <c r="C3" s="51" t="s">
        <v>165</v>
      </c>
      <c r="D3" s="51" t="s">
        <v>100</v>
      </c>
      <c r="E3" s="50" t="s">
        <v>159</v>
      </c>
      <c r="F3" s="50" t="s">
        <v>80</v>
      </c>
    </row>
    <row r="4" spans="2:6" x14ac:dyDescent="0.2">
      <c r="B4" s="17" t="s">
        <v>105</v>
      </c>
      <c r="C4" s="17" t="s">
        <v>162</v>
      </c>
      <c r="D4" s="43">
        <v>5</v>
      </c>
      <c r="E4" s="44">
        <v>1932</v>
      </c>
      <c r="F4" s="45">
        <v>1937</v>
      </c>
    </row>
    <row r="5" spans="2:6" x14ac:dyDescent="0.2">
      <c r="B5" s="17" t="s">
        <v>160</v>
      </c>
      <c r="C5" s="17" t="s">
        <v>163</v>
      </c>
      <c r="D5" s="43">
        <v>815.5</v>
      </c>
      <c r="E5" s="44">
        <v>5868.9</v>
      </c>
      <c r="F5" s="45">
        <v>6684.4</v>
      </c>
    </row>
    <row r="6" spans="2:6" x14ac:dyDescent="0.2">
      <c r="B6" s="17" t="s">
        <v>63</v>
      </c>
      <c r="C6" s="17" t="s">
        <v>163</v>
      </c>
      <c r="D6" s="43">
        <v>3276.47</v>
      </c>
      <c r="E6" s="44">
        <v>2292.5</v>
      </c>
      <c r="F6" s="45">
        <v>5568.9699999999903</v>
      </c>
    </row>
    <row r="7" spans="2:6" x14ac:dyDescent="0.2">
      <c r="B7" s="17" t="s">
        <v>64</v>
      </c>
      <c r="C7" s="17" t="s">
        <v>163</v>
      </c>
      <c r="D7" s="43">
        <v>5885.4</v>
      </c>
      <c r="E7" s="44">
        <v>11818.09</v>
      </c>
      <c r="F7" s="45">
        <v>17703.4899999999</v>
      </c>
    </row>
    <row r="8" spans="2:6" x14ac:dyDescent="0.2">
      <c r="B8" s="17" t="s">
        <v>65</v>
      </c>
      <c r="C8" s="17" t="s">
        <v>163</v>
      </c>
      <c r="D8" s="43">
        <v>33201.1</v>
      </c>
      <c r="E8" s="44">
        <v>49348.75</v>
      </c>
      <c r="F8" s="45">
        <v>82549.850000000006</v>
      </c>
    </row>
    <row r="9" spans="2:6" x14ac:dyDescent="0.2">
      <c r="B9" s="17" t="s">
        <v>238</v>
      </c>
      <c r="C9" s="17" t="s">
        <v>163</v>
      </c>
      <c r="D9" s="43">
        <v>30</v>
      </c>
      <c r="E9" s="44">
        <v>100</v>
      </c>
      <c r="F9" s="45">
        <v>130</v>
      </c>
    </row>
    <row r="10" spans="2:6" x14ac:dyDescent="0.2">
      <c r="B10" s="17" t="s">
        <v>67</v>
      </c>
      <c r="C10" s="17" t="s">
        <v>162</v>
      </c>
      <c r="D10" s="43">
        <v>81.260000000000005</v>
      </c>
      <c r="E10" s="44">
        <v>14183.33</v>
      </c>
      <c r="F10" s="45">
        <v>14264.59</v>
      </c>
    </row>
    <row r="11" spans="2:6" x14ac:dyDescent="0.2">
      <c r="B11" s="17" t="s">
        <v>66</v>
      </c>
      <c r="C11" s="17" t="s">
        <v>162</v>
      </c>
      <c r="D11" s="43">
        <v>37.93</v>
      </c>
      <c r="E11" s="44">
        <v>1665.8</v>
      </c>
      <c r="F11" s="45">
        <v>1703.73</v>
      </c>
    </row>
    <row r="12" spans="2:6" x14ac:dyDescent="0.2">
      <c r="B12" s="17" t="s">
        <v>161</v>
      </c>
      <c r="C12" s="17" t="s">
        <v>162</v>
      </c>
      <c r="D12" s="43">
        <v>0</v>
      </c>
      <c r="E12" s="44">
        <v>25.2</v>
      </c>
      <c r="F12" s="45">
        <v>25.2</v>
      </c>
    </row>
    <row r="13" spans="2:6" x14ac:dyDescent="0.2">
      <c r="B13" s="17" t="s">
        <v>68</v>
      </c>
      <c r="C13" s="17" t="s">
        <v>163</v>
      </c>
      <c r="D13" s="43">
        <v>1060</v>
      </c>
      <c r="E13" s="44">
        <v>98.899999999999906</v>
      </c>
      <c r="F13" s="45">
        <v>1158.9000000000001</v>
      </c>
    </row>
    <row r="14" spans="2:6" x14ac:dyDescent="0.2">
      <c r="B14" s="17" t="s">
        <v>126</v>
      </c>
      <c r="C14" s="17"/>
      <c r="D14" s="43">
        <v>6230.7999999999902</v>
      </c>
      <c r="E14" s="44">
        <v>231243.8</v>
      </c>
      <c r="F14" s="45">
        <v>237474.59999999899</v>
      </c>
    </row>
    <row r="15" spans="2:6" x14ac:dyDescent="0.2">
      <c r="B15" s="19" t="s">
        <v>80</v>
      </c>
      <c r="C15" s="17"/>
      <c r="D15" s="105">
        <v>50623.46</v>
      </c>
      <c r="E15" s="45">
        <v>318577.26999999897</v>
      </c>
      <c r="F15" s="45">
        <v>369200.73</v>
      </c>
    </row>
    <row r="18" spans="2:9" ht="32" customHeight="1" x14ac:dyDescent="0.2">
      <c r="B18" s="118" t="s">
        <v>83</v>
      </c>
      <c r="C18" s="118"/>
      <c r="D18" s="118"/>
      <c r="E18" s="118"/>
      <c r="F18" s="118"/>
      <c r="G18" s="118"/>
      <c r="H18" s="14"/>
      <c r="I18" s="14"/>
    </row>
  </sheetData>
  <mergeCells count="1">
    <mergeCell ref="B18:G18"/>
  </mergeCells>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E30"/>
  <sheetViews>
    <sheetView workbookViewId="0">
      <selection activeCell="B2" sqref="B2"/>
    </sheetView>
  </sheetViews>
  <sheetFormatPr baseColWidth="10" defaultColWidth="11" defaultRowHeight="16" x14ac:dyDescent="0.2"/>
  <cols>
    <col min="2" max="2" width="26.33203125" customWidth="1"/>
    <col min="3" max="3" width="22.33203125" customWidth="1"/>
    <col min="4" max="4" width="19.6640625" customWidth="1"/>
    <col min="5" max="5" width="16" customWidth="1"/>
  </cols>
  <sheetData>
    <row r="1" spans="2:5" ht="24" x14ac:dyDescent="0.3">
      <c r="B1" s="8" t="s">
        <v>829</v>
      </c>
    </row>
    <row r="3" spans="2:5" ht="17" x14ac:dyDescent="0.2">
      <c r="B3" s="48" t="s">
        <v>3</v>
      </c>
      <c r="C3" s="49" t="s">
        <v>0</v>
      </c>
      <c r="D3" s="49" t="s">
        <v>1</v>
      </c>
      <c r="E3" s="49" t="s">
        <v>2</v>
      </c>
    </row>
    <row r="4" spans="2:5" x14ac:dyDescent="0.2">
      <c r="B4" s="17">
        <v>2001</v>
      </c>
      <c r="C4" s="39">
        <v>2</v>
      </c>
      <c r="D4" s="39">
        <v>76</v>
      </c>
      <c r="E4" s="39">
        <v>64</v>
      </c>
    </row>
    <row r="5" spans="2:5" x14ac:dyDescent="0.2">
      <c r="B5" s="17">
        <v>2002</v>
      </c>
      <c r="C5" s="39">
        <v>2</v>
      </c>
      <c r="D5" s="39">
        <v>80</v>
      </c>
      <c r="E5" s="39">
        <v>70</v>
      </c>
    </row>
    <row r="6" spans="2:5" x14ac:dyDescent="0.2">
      <c r="B6" s="17">
        <v>2003</v>
      </c>
      <c r="C6" s="39">
        <v>2.3421112399999999</v>
      </c>
      <c r="D6" s="39">
        <v>82.857207700000004</v>
      </c>
      <c r="E6" s="39">
        <v>69.661748000000003</v>
      </c>
    </row>
    <row r="7" spans="2:5" x14ac:dyDescent="0.2">
      <c r="B7" s="17">
        <v>2004</v>
      </c>
      <c r="C7" s="39">
        <v>2.3087939400000002</v>
      </c>
      <c r="D7" s="39">
        <v>84.435722299999995</v>
      </c>
      <c r="E7" s="39">
        <v>65.675071399999993</v>
      </c>
    </row>
    <row r="8" spans="2:5" x14ac:dyDescent="0.2">
      <c r="B8" s="17">
        <v>2005</v>
      </c>
      <c r="C8" s="39">
        <v>3</v>
      </c>
      <c r="D8" s="39">
        <v>90</v>
      </c>
      <c r="E8" s="39">
        <v>70</v>
      </c>
    </row>
    <row r="9" spans="2:5" x14ac:dyDescent="0.2">
      <c r="B9" s="17">
        <v>2006</v>
      </c>
      <c r="C9" s="39">
        <v>2.9864864899999999</v>
      </c>
      <c r="D9" s="39">
        <v>90</v>
      </c>
      <c r="E9" s="39">
        <v>75.135135099999999</v>
      </c>
    </row>
    <row r="10" spans="2:5" x14ac:dyDescent="0.2">
      <c r="B10" s="17">
        <v>2007</v>
      </c>
      <c r="C10" s="39">
        <v>2.9245136199999999</v>
      </c>
      <c r="D10" s="39">
        <v>96.035019500000004</v>
      </c>
      <c r="E10" s="39">
        <v>73.223735399999995</v>
      </c>
    </row>
    <row r="11" spans="2:5" x14ac:dyDescent="0.2">
      <c r="B11" s="17">
        <v>2008</v>
      </c>
      <c r="C11" s="39">
        <v>2</v>
      </c>
      <c r="D11" s="39">
        <v>80</v>
      </c>
      <c r="E11" s="39">
        <v>59</v>
      </c>
    </row>
    <row r="12" spans="2:5" x14ac:dyDescent="0.2">
      <c r="B12" s="17">
        <v>2009</v>
      </c>
      <c r="C12" s="39">
        <v>3.6853124099999999</v>
      </c>
      <c r="D12" s="39">
        <v>107.46319200000001</v>
      </c>
      <c r="E12" s="39">
        <v>80.519692000000006</v>
      </c>
    </row>
    <row r="13" spans="2:5" x14ac:dyDescent="0.2">
      <c r="B13" s="17">
        <v>2010</v>
      </c>
      <c r="C13" s="39">
        <v>2.9412120399999999</v>
      </c>
      <c r="D13" s="39">
        <v>94.128361900000002</v>
      </c>
      <c r="E13" s="39">
        <v>74.326151899999999</v>
      </c>
    </row>
    <row r="14" spans="2:5" x14ac:dyDescent="0.2">
      <c r="B14" s="17">
        <v>2011</v>
      </c>
      <c r="C14" s="39">
        <v>3.3113162100000002</v>
      </c>
      <c r="D14" s="39">
        <v>104.64526499999999</v>
      </c>
      <c r="E14" s="39">
        <v>80.574237600000004</v>
      </c>
    </row>
    <row r="15" spans="2:5" x14ac:dyDescent="0.2">
      <c r="B15" s="17">
        <v>2012</v>
      </c>
      <c r="C15" s="39">
        <v>4.2761879399999998</v>
      </c>
      <c r="D15" s="39">
        <v>122.580624</v>
      </c>
      <c r="E15" s="39">
        <v>90.226543800000002</v>
      </c>
    </row>
    <row r="16" spans="2:5" x14ac:dyDescent="0.2">
      <c r="B16" s="17">
        <v>2013</v>
      </c>
      <c r="C16" s="39">
        <v>4.0200688700000002</v>
      </c>
      <c r="D16" s="39">
        <v>116.63071600000001</v>
      </c>
      <c r="E16" s="39">
        <v>84.851673599999998</v>
      </c>
    </row>
    <row r="17" spans="2:5" x14ac:dyDescent="0.2">
      <c r="B17" s="17">
        <v>2014</v>
      </c>
      <c r="C17" s="39">
        <v>3.4021540799999999</v>
      </c>
      <c r="D17" s="39">
        <v>116.79738500000001</v>
      </c>
      <c r="E17" s="39">
        <v>85.284545199999997</v>
      </c>
    </row>
    <row r="18" spans="2:5" x14ac:dyDescent="0.2">
      <c r="B18" s="17">
        <v>2015</v>
      </c>
      <c r="C18" s="39">
        <v>4.1766172499999996</v>
      </c>
      <c r="D18" s="39">
        <v>118.844013</v>
      </c>
      <c r="E18" s="39">
        <v>86.669737799999993</v>
      </c>
    </row>
    <row r="19" spans="2:5" x14ac:dyDescent="0.2">
      <c r="B19" s="17">
        <v>2016</v>
      </c>
      <c r="C19" s="39">
        <v>4.9499267400000004</v>
      </c>
      <c r="D19" s="39">
        <v>135.898901</v>
      </c>
      <c r="E19" s="39">
        <v>101.65201500000001</v>
      </c>
    </row>
    <row r="20" spans="2:5" x14ac:dyDescent="0.2">
      <c r="B20" s="17">
        <v>2017</v>
      </c>
      <c r="C20" s="39">
        <v>5.1230241899999998</v>
      </c>
      <c r="D20" s="39">
        <v>137.33591999999999</v>
      </c>
      <c r="E20" s="39">
        <v>95.482072200000005</v>
      </c>
    </row>
    <row r="21" spans="2:5" x14ac:dyDescent="0.2">
      <c r="B21" s="17">
        <v>2018</v>
      </c>
      <c r="C21" s="39">
        <v>6.1998937200000004</v>
      </c>
      <c r="D21" s="39">
        <v>145.404347</v>
      </c>
      <c r="E21" s="39">
        <v>101.53309299999999</v>
      </c>
    </row>
    <row r="22" spans="2:5" x14ac:dyDescent="0.2">
      <c r="B22" s="17">
        <v>2019</v>
      </c>
      <c r="C22" s="39">
        <v>6.8819701599999998</v>
      </c>
      <c r="D22" s="39">
        <v>154.16562099999999</v>
      </c>
      <c r="E22" s="39">
        <v>105.770669</v>
      </c>
    </row>
    <row r="23" spans="2:5" x14ac:dyDescent="0.2">
      <c r="B23" s="17">
        <v>2020</v>
      </c>
      <c r="C23" s="39">
        <v>7.7078052799999996</v>
      </c>
      <c r="D23" s="39">
        <v>158.01382899999999</v>
      </c>
      <c r="E23" s="39">
        <v>107.826718</v>
      </c>
    </row>
    <row r="24" spans="2:5" x14ac:dyDescent="0.2">
      <c r="B24" s="17">
        <v>2021</v>
      </c>
      <c r="C24" s="39">
        <v>7.3934679299999999</v>
      </c>
      <c r="D24" s="39">
        <v>156.07919100000001</v>
      </c>
      <c r="E24" s="39">
        <v>99.645494600000006</v>
      </c>
    </row>
    <row r="25" spans="2:5" x14ac:dyDescent="0.2">
      <c r="B25" s="17">
        <v>2022</v>
      </c>
      <c r="C25" s="39">
        <v>8.2552157699999995</v>
      </c>
      <c r="D25" s="39">
        <v>162.58998800000001</v>
      </c>
      <c r="E25" s="39">
        <v>111.961015</v>
      </c>
    </row>
    <row r="26" spans="2:5" x14ac:dyDescent="0.2">
      <c r="B26" s="17">
        <v>2023</v>
      </c>
      <c r="C26" s="39">
        <v>9.7988752800000007</v>
      </c>
      <c r="D26" s="39">
        <v>183.74432200000001</v>
      </c>
      <c r="E26" s="39">
        <v>123.623296</v>
      </c>
    </row>
    <row r="27" spans="2:5" x14ac:dyDescent="0.2">
      <c r="B27" s="17">
        <v>2024</v>
      </c>
      <c r="C27" s="39">
        <v>9.2456517999999992</v>
      </c>
      <c r="D27" s="39">
        <v>175.94791599999999</v>
      </c>
      <c r="E27" s="39">
        <v>115.854871</v>
      </c>
    </row>
    <row r="28" spans="2:5" x14ac:dyDescent="0.2">
      <c r="B28" s="17">
        <v>2025</v>
      </c>
      <c r="C28" s="39">
        <v>12.5246814</v>
      </c>
      <c r="D28" s="39">
        <v>212.87164100000001</v>
      </c>
      <c r="E28" s="39">
        <v>142.355289</v>
      </c>
    </row>
    <row r="29" spans="2:5" x14ac:dyDescent="0.2">
      <c r="B29" s="17">
        <v>2026</v>
      </c>
      <c r="C29" s="39">
        <v>13.7100601</v>
      </c>
      <c r="D29" s="39">
        <v>220.91012499999999</v>
      </c>
      <c r="E29" s="39">
        <v>139.39769200000001</v>
      </c>
    </row>
    <row r="30" spans="2:5" x14ac:dyDescent="0.2">
      <c r="B30" s="79">
        <v>2027</v>
      </c>
      <c r="C30" s="106">
        <v>14.714467000000001</v>
      </c>
      <c r="D30" s="106">
        <v>197.224176</v>
      </c>
      <c r="E30" s="106">
        <v>133.00679400000001</v>
      </c>
    </row>
  </sheetData>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E24"/>
  <sheetViews>
    <sheetView workbookViewId="0">
      <selection activeCell="B2" sqref="B2"/>
    </sheetView>
  </sheetViews>
  <sheetFormatPr baseColWidth="10" defaultColWidth="11" defaultRowHeight="16" x14ac:dyDescent="0.2"/>
  <cols>
    <col min="2" max="2" width="34.1640625" style="3" customWidth="1"/>
    <col min="3" max="3" width="12" style="1" customWidth="1"/>
    <col min="4" max="4" width="12.5" style="1" customWidth="1"/>
    <col min="5" max="5" width="12" style="1" customWidth="1"/>
  </cols>
  <sheetData>
    <row r="1" spans="2:5" ht="24" x14ac:dyDescent="0.3">
      <c r="B1" s="9" t="s">
        <v>830</v>
      </c>
    </row>
    <row r="3" spans="2:5" x14ac:dyDescent="0.2">
      <c r="B3" s="42" t="s">
        <v>76</v>
      </c>
      <c r="C3" s="30" t="s">
        <v>100</v>
      </c>
      <c r="D3" s="30" t="s">
        <v>159</v>
      </c>
      <c r="E3" s="30" t="s">
        <v>80</v>
      </c>
    </row>
    <row r="4" spans="2:5" x14ac:dyDescent="0.2">
      <c r="B4" s="6" t="s">
        <v>126</v>
      </c>
      <c r="C4" s="40">
        <v>145</v>
      </c>
      <c r="D4" s="40">
        <v>261178.15</v>
      </c>
      <c r="E4" s="41">
        <v>261323.15</v>
      </c>
    </row>
    <row r="5" spans="2:5" x14ac:dyDescent="0.2">
      <c r="B5" s="6" t="s">
        <v>758</v>
      </c>
      <c r="C5" s="40">
        <v>25103.55</v>
      </c>
      <c r="D5" s="40">
        <v>25982.34</v>
      </c>
      <c r="E5" s="41">
        <v>51085.89</v>
      </c>
    </row>
    <row r="6" spans="2:5" x14ac:dyDescent="0.2">
      <c r="B6" s="6" t="s">
        <v>239</v>
      </c>
      <c r="C6" s="40">
        <v>8060.42</v>
      </c>
      <c r="D6" s="40">
        <v>9997.0300000000007</v>
      </c>
      <c r="E6" s="41">
        <v>18057.45</v>
      </c>
    </row>
    <row r="7" spans="2:5" x14ac:dyDescent="0.2">
      <c r="B7" s="6" t="s">
        <v>72</v>
      </c>
      <c r="C7" s="40">
        <v>629.79999999999995</v>
      </c>
      <c r="D7" s="40">
        <v>11747.9</v>
      </c>
      <c r="E7" s="41">
        <v>12377.7</v>
      </c>
    </row>
    <row r="8" spans="2:5" x14ac:dyDescent="0.2">
      <c r="B8" s="6" t="s">
        <v>77</v>
      </c>
      <c r="C8" s="40">
        <v>4482.55</v>
      </c>
      <c r="D8" s="40">
        <v>2932.3</v>
      </c>
      <c r="E8" s="41">
        <v>7414.85</v>
      </c>
    </row>
    <row r="9" spans="2:5" x14ac:dyDescent="0.2">
      <c r="B9" s="6" t="s">
        <v>73</v>
      </c>
      <c r="C9" s="40">
        <v>2761.15</v>
      </c>
      <c r="D9" s="40">
        <v>1878.6</v>
      </c>
      <c r="E9" s="41">
        <v>4639.75</v>
      </c>
    </row>
    <row r="10" spans="2:5" x14ac:dyDescent="0.2">
      <c r="B10" s="6" t="s">
        <v>71</v>
      </c>
      <c r="C10" s="40">
        <v>2922.1</v>
      </c>
      <c r="D10" s="40">
        <v>400</v>
      </c>
      <c r="E10" s="41">
        <v>3322.1</v>
      </c>
    </row>
    <row r="11" spans="2:5" x14ac:dyDescent="0.2">
      <c r="B11" s="6" t="s">
        <v>240</v>
      </c>
      <c r="C11" s="40">
        <v>1653.8</v>
      </c>
      <c r="D11" s="40">
        <v>704.2</v>
      </c>
      <c r="E11" s="41">
        <v>2358</v>
      </c>
    </row>
    <row r="12" spans="2:5" x14ac:dyDescent="0.2">
      <c r="B12" s="6" t="s">
        <v>241</v>
      </c>
      <c r="C12" s="40">
        <v>93</v>
      </c>
      <c r="D12" s="40">
        <v>1604</v>
      </c>
      <c r="E12" s="41">
        <v>1697</v>
      </c>
    </row>
    <row r="13" spans="2:5" x14ac:dyDescent="0.2">
      <c r="B13" s="6" t="s">
        <v>125</v>
      </c>
      <c r="C13" s="40">
        <v>702</v>
      </c>
      <c r="D13" s="40">
        <v>898.5</v>
      </c>
      <c r="E13" s="41">
        <v>1600.5</v>
      </c>
    </row>
    <row r="14" spans="2:5" x14ac:dyDescent="0.2">
      <c r="B14" s="6" t="s">
        <v>242</v>
      </c>
      <c r="C14" s="40">
        <v>505.5</v>
      </c>
      <c r="D14" s="40">
        <v>1016.45</v>
      </c>
      <c r="E14" s="41">
        <v>1521.95</v>
      </c>
    </row>
    <row r="15" spans="2:5" x14ac:dyDescent="0.2">
      <c r="B15" s="6" t="s">
        <v>74</v>
      </c>
      <c r="C15" s="40">
        <v>1416.2</v>
      </c>
      <c r="D15" s="40">
        <v>0</v>
      </c>
      <c r="E15" s="41">
        <v>1416.2</v>
      </c>
    </row>
    <row r="16" spans="2:5" x14ac:dyDescent="0.2">
      <c r="B16" s="6" t="s">
        <v>759</v>
      </c>
      <c r="C16" s="40">
        <v>660</v>
      </c>
      <c r="D16" s="40">
        <v>0</v>
      </c>
      <c r="E16" s="41">
        <v>660</v>
      </c>
    </row>
    <row r="17" spans="2:5" x14ac:dyDescent="0.2">
      <c r="B17" s="6" t="s">
        <v>70</v>
      </c>
      <c r="C17" s="40">
        <v>400</v>
      </c>
      <c r="D17" s="40">
        <v>0</v>
      </c>
      <c r="E17" s="41">
        <v>400</v>
      </c>
    </row>
    <row r="18" spans="2:5" x14ac:dyDescent="0.2">
      <c r="B18" s="6" t="s">
        <v>122</v>
      </c>
      <c r="C18" s="40">
        <v>355</v>
      </c>
      <c r="D18" s="40">
        <v>0</v>
      </c>
      <c r="E18" s="41">
        <v>355</v>
      </c>
    </row>
    <row r="19" spans="2:5" x14ac:dyDescent="0.2">
      <c r="B19" s="6" t="s">
        <v>760</v>
      </c>
      <c r="C19" s="40">
        <v>294.7</v>
      </c>
      <c r="D19" s="40">
        <v>0</v>
      </c>
      <c r="E19" s="41">
        <v>294.7</v>
      </c>
    </row>
    <row r="20" spans="2:5" x14ac:dyDescent="0.2">
      <c r="B20" s="6" t="s">
        <v>243</v>
      </c>
      <c r="C20" s="40">
        <v>0</v>
      </c>
      <c r="D20" s="40">
        <v>205</v>
      </c>
      <c r="E20" s="41">
        <v>205</v>
      </c>
    </row>
    <row r="21" spans="2:5" x14ac:dyDescent="0.2">
      <c r="B21" s="6" t="s">
        <v>123</v>
      </c>
      <c r="C21" s="40">
        <v>188.5</v>
      </c>
      <c r="D21" s="40">
        <v>0</v>
      </c>
      <c r="E21" s="41">
        <v>188.5</v>
      </c>
    </row>
    <row r="22" spans="2:5" x14ac:dyDescent="0.2">
      <c r="B22" s="6" t="s">
        <v>124</v>
      </c>
      <c r="C22" s="40">
        <v>125.2</v>
      </c>
      <c r="D22" s="40">
        <v>0</v>
      </c>
      <c r="E22" s="41">
        <v>125.2</v>
      </c>
    </row>
    <row r="23" spans="2:5" x14ac:dyDescent="0.2">
      <c r="B23" s="55" t="s">
        <v>17</v>
      </c>
      <c r="C23" s="108">
        <v>124.99</v>
      </c>
      <c r="D23" s="108">
        <v>32.799999999999997</v>
      </c>
      <c r="E23" s="41">
        <v>157.79</v>
      </c>
    </row>
    <row r="24" spans="2:5" x14ac:dyDescent="0.2">
      <c r="B24" s="88" t="s">
        <v>80</v>
      </c>
      <c r="C24" s="107">
        <v>50623.46</v>
      </c>
      <c r="D24" s="107">
        <v>318577.27</v>
      </c>
      <c r="E24" s="107">
        <v>369200.73</v>
      </c>
    </row>
  </sheetData>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X11"/>
  <sheetViews>
    <sheetView workbookViewId="0">
      <selection activeCell="B2" sqref="B2"/>
    </sheetView>
  </sheetViews>
  <sheetFormatPr baseColWidth="10" defaultColWidth="11" defaultRowHeight="16" x14ac:dyDescent="0.2"/>
  <cols>
    <col min="2" max="2" width="32" style="3" customWidth="1"/>
    <col min="3" max="7" width="10.83203125" style="1"/>
    <col min="8" max="17" width="11" style="1"/>
    <col min="18" max="24" width="10.83203125" style="1"/>
  </cols>
  <sheetData>
    <row r="1" spans="2:24" ht="24" x14ac:dyDescent="0.3">
      <c r="B1" s="7" t="s">
        <v>831</v>
      </c>
    </row>
    <row r="3" spans="2:24" x14ac:dyDescent="0.2">
      <c r="B3" s="17" t="s">
        <v>40</v>
      </c>
      <c r="C3" s="5" t="s">
        <v>127</v>
      </c>
      <c r="D3" t="s">
        <v>128</v>
      </c>
      <c r="E3" t="s">
        <v>129</v>
      </c>
      <c r="F3" t="s">
        <v>130</v>
      </c>
      <c r="G3" t="s">
        <v>131</v>
      </c>
      <c r="H3" t="s">
        <v>132</v>
      </c>
      <c r="I3" t="s">
        <v>133</v>
      </c>
      <c r="J3" t="s">
        <v>134</v>
      </c>
      <c r="K3" t="s">
        <v>135</v>
      </c>
      <c r="L3" t="s">
        <v>136</v>
      </c>
      <c r="M3" t="s">
        <v>137</v>
      </c>
      <c r="N3" t="s">
        <v>166</v>
      </c>
      <c r="O3" t="s">
        <v>167</v>
      </c>
      <c r="P3" t="s">
        <v>168</v>
      </c>
      <c r="Q3" t="s">
        <v>169</v>
      </c>
      <c r="R3" t="s">
        <v>244</v>
      </c>
      <c r="S3"/>
      <c r="T3"/>
      <c r="U3"/>
      <c r="V3"/>
      <c r="W3"/>
      <c r="X3"/>
    </row>
    <row r="4" spans="2:24" x14ac:dyDescent="0.2">
      <c r="B4" s="17" t="s">
        <v>761</v>
      </c>
      <c r="C4" s="18">
        <v>119.3557461</v>
      </c>
      <c r="D4" s="18"/>
      <c r="E4" s="18"/>
      <c r="F4" s="18"/>
      <c r="G4" s="18"/>
      <c r="H4" s="18"/>
      <c r="I4" s="18"/>
      <c r="J4" s="18"/>
      <c r="K4" s="18"/>
      <c r="L4" s="18"/>
      <c r="M4" s="18"/>
      <c r="N4" s="18"/>
      <c r="O4" s="18"/>
      <c r="P4" s="18"/>
      <c r="Q4" s="18"/>
      <c r="R4" s="18"/>
      <c r="S4"/>
      <c r="T4"/>
      <c r="U4"/>
      <c r="V4"/>
      <c r="W4"/>
      <c r="X4"/>
    </row>
    <row r="5" spans="2:24" x14ac:dyDescent="0.2">
      <c r="B5" s="17" t="s">
        <v>762</v>
      </c>
      <c r="C5" s="18">
        <v>98.416141510000003</v>
      </c>
      <c r="D5" s="18"/>
      <c r="E5" s="18"/>
      <c r="F5" s="18"/>
      <c r="G5" s="18"/>
      <c r="H5" s="18"/>
      <c r="I5" s="18"/>
      <c r="J5" s="18"/>
      <c r="K5" s="18"/>
      <c r="L5" s="18"/>
      <c r="M5" s="18"/>
      <c r="N5" s="18"/>
      <c r="O5" s="18"/>
      <c r="P5" s="18"/>
      <c r="Q5" s="18"/>
      <c r="R5" s="18"/>
      <c r="S5"/>
      <c r="T5"/>
      <c r="U5"/>
      <c r="V5"/>
      <c r="W5"/>
      <c r="X5"/>
    </row>
    <row r="6" spans="2:24" x14ac:dyDescent="0.2">
      <c r="B6" s="17" t="s">
        <v>763</v>
      </c>
      <c r="C6" s="18">
        <v>95.275200819999995</v>
      </c>
      <c r="D6" s="18"/>
      <c r="E6" s="18"/>
      <c r="F6" s="18"/>
      <c r="G6" s="18"/>
      <c r="H6" s="18"/>
      <c r="I6" s="18"/>
      <c r="J6" s="18"/>
      <c r="K6" s="18"/>
      <c r="L6" s="18"/>
      <c r="M6" s="18"/>
      <c r="N6" s="18"/>
      <c r="O6" s="18"/>
      <c r="P6" s="18"/>
      <c r="Q6" s="18"/>
      <c r="R6" s="18"/>
      <c r="S6"/>
      <c r="T6"/>
      <c r="U6"/>
      <c r="V6"/>
      <c r="W6"/>
      <c r="X6"/>
    </row>
    <row r="7" spans="2:24" x14ac:dyDescent="0.2">
      <c r="B7" s="17" t="s">
        <v>764</v>
      </c>
      <c r="C7" s="18">
        <v>64</v>
      </c>
      <c r="D7" s="18">
        <v>61</v>
      </c>
      <c r="E7" s="18">
        <v>59</v>
      </c>
      <c r="F7" s="18">
        <v>57</v>
      </c>
      <c r="G7" s="18">
        <v>55</v>
      </c>
      <c r="H7" s="18">
        <v>53</v>
      </c>
      <c r="I7" s="18">
        <v>52</v>
      </c>
      <c r="J7" s="18">
        <v>50</v>
      </c>
      <c r="K7" s="18">
        <v>48</v>
      </c>
      <c r="L7" s="18">
        <v>46</v>
      </c>
      <c r="M7" s="18">
        <v>44</v>
      </c>
      <c r="N7" s="18">
        <v>43</v>
      </c>
      <c r="O7" s="18">
        <v>41</v>
      </c>
      <c r="P7" s="18">
        <v>41</v>
      </c>
      <c r="Q7" s="18">
        <v>40</v>
      </c>
      <c r="R7" s="18">
        <v>38</v>
      </c>
      <c r="S7"/>
      <c r="T7"/>
      <c r="U7"/>
      <c r="V7"/>
      <c r="W7"/>
      <c r="X7"/>
    </row>
    <row r="8" spans="2:24" x14ac:dyDescent="0.2">
      <c r="B8" s="17" t="s">
        <v>765</v>
      </c>
      <c r="C8" s="18"/>
      <c r="D8" s="18"/>
      <c r="E8" s="18"/>
      <c r="F8" s="18"/>
      <c r="G8" s="18"/>
      <c r="H8" s="18">
        <v>79.492249380000004</v>
      </c>
      <c r="I8" s="18">
        <v>77.58761509</v>
      </c>
      <c r="J8" s="18">
        <v>75.682980790000002</v>
      </c>
      <c r="K8" s="18">
        <v>73.778346499999998</v>
      </c>
      <c r="L8" s="18">
        <v>71.8737122</v>
      </c>
      <c r="M8" s="18">
        <v>69.969077909999996</v>
      </c>
      <c r="N8" s="18">
        <v>68.064443609999998</v>
      </c>
      <c r="O8" s="18">
        <v>66.15980931</v>
      </c>
      <c r="P8" s="18">
        <v>64.255175019999996</v>
      </c>
      <c r="Q8" s="18">
        <v>62.350540719999998</v>
      </c>
      <c r="R8" s="18">
        <v>60.445906430000001</v>
      </c>
      <c r="S8"/>
      <c r="T8"/>
      <c r="U8"/>
      <c r="V8"/>
      <c r="W8"/>
      <c r="X8"/>
    </row>
    <row r="9" spans="2:24" x14ac:dyDescent="0.2">
      <c r="B9" s="17" t="s">
        <v>766</v>
      </c>
      <c r="C9" s="18">
        <v>120.4027263</v>
      </c>
      <c r="D9" s="18">
        <v>115.6913153</v>
      </c>
      <c r="E9" s="18">
        <v>110.9799043</v>
      </c>
      <c r="F9" s="18">
        <v>106.26849319999999</v>
      </c>
      <c r="G9" s="18">
        <v>101.5570822</v>
      </c>
      <c r="H9" s="18">
        <v>96.845671170000003</v>
      </c>
      <c r="I9" s="18">
        <v>92.134260139999995</v>
      </c>
      <c r="J9" s="18">
        <v>87.422849110000001</v>
      </c>
      <c r="K9" s="18">
        <v>82.711438079999994</v>
      </c>
      <c r="L9" s="18">
        <v>78.00002705</v>
      </c>
      <c r="M9" s="18">
        <v>73.288616020000006</v>
      </c>
      <c r="N9" s="18">
        <v>72.241635790000004</v>
      </c>
      <c r="O9" s="18">
        <v>71.194655560000001</v>
      </c>
      <c r="P9" s="18">
        <v>70.147675329999998</v>
      </c>
      <c r="Q9" s="18">
        <v>69.100695099999996</v>
      </c>
      <c r="R9" s="18">
        <v>68.053714869999993</v>
      </c>
      <c r="S9"/>
      <c r="T9"/>
      <c r="U9"/>
      <c r="V9"/>
      <c r="W9"/>
      <c r="X9"/>
    </row>
    <row r="10" spans="2:24" x14ac:dyDescent="0.2">
      <c r="B10" s="17" t="s">
        <v>767</v>
      </c>
      <c r="C10" s="18"/>
      <c r="D10" s="18">
        <v>83</v>
      </c>
      <c r="E10" s="18"/>
      <c r="F10" s="18"/>
      <c r="G10" s="18"/>
      <c r="H10" s="18"/>
      <c r="I10" s="18"/>
      <c r="J10" s="18"/>
      <c r="K10" s="18"/>
      <c r="L10" s="18"/>
      <c r="M10" s="18"/>
      <c r="N10" s="18"/>
      <c r="O10" s="18"/>
      <c r="P10" s="18"/>
      <c r="Q10" s="18"/>
      <c r="R10" s="18"/>
      <c r="S10"/>
      <c r="T10"/>
      <c r="U10"/>
      <c r="V10"/>
      <c r="W10"/>
      <c r="X10"/>
    </row>
    <row r="11" spans="2:24" x14ac:dyDescent="0.2">
      <c r="B11" s="17" t="s">
        <v>768</v>
      </c>
      <c r="C11" s="18">
        <v>79.368107370000004</v>
      </c>
      <c r="D11" s="18">
        <v>74.566342370000001</v>
      </c>
      <c r="E11" s="18">
        <v>70.800939319999998</v>
      </c>
      <c r="F11" s="18">
        <v>67.681092030000002</v>
      </c>
      <c r="G11" s="18">
        <v>65.001399669999998</v>
      </c>
      <c r="H11" s="18">
        <v>62.640702079999997</v>
      </c>
      <c r="I11" s="18">
        <v>60.521617120000002</v>
      </c>
      <c r="J11" s="18">
        <v>58.591753949999998</v>
      </c>
      <c r="K11" s="18">
        <v>56.814019209999998</v>
      </c>
      <c r="L11" s="18">
        <v>55.161203069999999</v>
      </c>
      <c r="M11" s="18">
        <v>53.61276281</v>
      </c>
      <c r="N11" s="18">
        <v>52.604682660000002</v>
      </c>
      <c r="O11" s="18">
        <v>51.6705404</v>
      </c>
      <c r="P11" s="18">
        <v>50.800487019999998</v>
      </c>
      <c r="Q11" s="18">
        <v>49.986503429999999</v>
      </c>
      <c r="R11" s="18">
        <v>49.22197516</v>
      </c>
      <c r="S11"/>
      <c r="T11"/>
      <c r="U11"/>
      <c r="V11"/>
      <c r="W11"/>
      <c r="X11"/>
    </row>
  </sheetData>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AF190-99F9-6C42-9F52-422B23B2CEF9}">
  <dimension ref="B1:J22"/>
  <sheetViews>
    <sheetView workbookViewId="0">
      <selection activeCell="D13" sqref="D13"/>
    </sheetView>
  </sheetViews>
  <sheetFormatPr baseColWidth="10" defaultColWidth="11" defaultRowHeight="16" x14ac:dyDescent="0.2"/>
  <cols>
    <col min="2" max="2" width="36.1640625" style="3" customWidth="1"/>
    <col min="3" max="10" width="11" style="1"/>
  </cols>
  <sheetData>
    <row r="1" spans="2:10" ht="24" x14ac:dyDescent="0.3">
      <c r="B1" s="7" t="s">
        <v>769</v>
      </c>
    </row>
    <row r="3" spans="2:10" x14ac:dyDescent="0.2">
      <c r="B3" s="19" t="s">
        <v>770</v>
      </c>
      <c r="C3" s="15" t="s">
        <v>796</v>
      </c>
      <c r="D3" s="110" t="s">
        <v>797</v>
      </c>
      <c r="E3"/>
      <c r="F3"/>
      <c r="G3"/>
      <c r="H3"/>
      <c r="I3"/>
      <c r="J3"/>
    </row>
    <row r="4" spans="2:10" x14ac:dyDescent="0.2">
      <c r="B4" s="19" t="s">
        <v>80</v>
      </c>
      <c r="C4" s="109"/>
      <c r="D4" s="96" t="s">
        <v>795</v>
      </c>
      <c r="E4"/>
      <c r="F4"/>
      <c r="G4"/>
      <c r="H4"/>
      <c r="I4"/>
      <c r="J4"/>
    </row>
    <row r="5" spans="2:10" x14ac:dyDescent="0.2">
      <c r="B5" s="17" t="s">
        <v>771</v>
      </c>
      <c r="C5" s="18" t="s">
        <v>772</v>
      </c>
      <c r="D5" s="111">
        <v>299</v>
      </c>
      <c r="E5"/>
      <c r="F5"/>
      <c r="G5"/>
      <c r="H5"/>
      <c r="I5"/>
      <c r="J5"/>
    </row>
    <row r="6" spans="2:10" x14ac:dyDescent="0.2">
      <c r="B6" s="17" t="s">
        <v>773</v>
      </c>
      <c r="C6" s="18" t="s">
        <v>772</v>
      </c>
      <c r="D6" s="111">
        <v>145</v>
      </c>
      <c r="E6"/>
      <c r="F6"/>
      <c r="G6"/>
      <c r="H6"/>
      <c r="I6"/>
      <c r="J6"/>
    </row>
    <row r="7" spans="2:10" x14ac:dyDescent="0.2">
      <c r="B7" s="17" t="s">
        <v>774</v>
      </c>
      <c r="C7" s="18" t="s">
        <v>772</v>
      </c>
      <c r="D7" s="111">
        <v>193</v>
      </c>
      <c r="E7"/>
      <c r="F7"/>
      <c r="G7"/>
      <c r="H7"/>
      <c r="I7"/>
      <c r="J7"/>
    </row>
    <row r="8" spans="2:10" x14ac:dyDescent="0.2">
      <c r="B8" s="17" t="s">
        <v>775</v>
      </c>
      <c r="C8" s="18" t="s">
        <v>772</v>
      </c>
      <c r="D8" s="111">
        <v>425</v>
      </c>
      <c r="E8"/>
      <c r="F8"/>
      <c r="G8"/>
      <c r="H8"/>
      <c r="I8"/>
      <c r="J8"/>
    </row>
    <row r="9" spans="2:10" x14ac:dyDescent="0.2">
      <c r="B9" s="17" t="s">
        <v>776</v>
      </c>
      <c r="C9" s="18" t="s">
        <v>772</v>
      </c>
      <c r="D9" s="111">
        <v>444</v>
      </c>
      <c r="E9"/>
      <c r="F9"/>
      <c r="G9"/>
      <c r="H9"/>
      <c r="I9"/>
      <c r="J9"/>
    </row>
    <row r="10" spans="2:10" x14ac:dyDescent="0.2">
      <c r="B10" s="17" t="s">
        <v>777</v>
      </c>
      <c r="C10" s="18" t="s">
        <v>772</v>
      </c>
      <c r="D10" s="111">
        <v>580</v>
      </c>
      <c r="E10"/>
      <c r="F10"/>
      <c r="G10"/>
      <c r="H10"/>
      <c r="I10"/>
      <c r="J10"/>
    </row>
    <row r="11" spans="2:10" x14ac:dyDescent="0.2">
      <c r="B11" s="17" t="s">
        <v>778</v>
      </c>
      <c r="C11" s="18" t="s">
        <v>779</v>
      </c>
      <c r="D11" s="111">
        <v>50</v>
      </c>
      <c r="E11"/>
      <c r="F11"/>
      <c r="G11"/>
      <c r="H11"/>
      <c r="I11"/>
      <c r="J11"/>
    </row>
    <row r="12" spans="2:10" x14ac:dyDescent="0.2">
      <c r="B12" s="79" t="s">
        <v>780</v>
      </c>
      <c r="C12" s="58" t="s">
        <v>781</v>
      </c>
      <c r="D12" s="112">
        <v>43.3</v>
      </c>
    </row>
    <row r="13" spans="2:10" x14ac:dyDescent="0.2">
      <c r="B13" s="79" t="s">
        <v>782</v>
      </c>
      <c r="C13" s="58" t="s">
        <v>781</v>
      </c>
      <c r="D13" s="112">
        <v>97</v>
      </c>
    </row>
    <row r="14" spans="2:10" x14ac:dyDescent="0.2">
      <c r="B14" s="79" t="s">
        <v>783</v>
      </c>
      <c r="C14" s="58" t="s">
        <v>784</v>
      </c>
      <c r="D14" s="112">
        <v>30</v>
      </c>
    </row>
    <row r="15" spans="2:10" x14ac:dyDescent="0.2">
      <c r="B15" s="79" t="s">
        <v>785</v>
      </c>
      <c r="C15" s="58" t="s">
        <v>781</v>
      </c>
      <c r="D15" s="112">
        <v>83.27</v>
      </c>
    </row>
    <row r="16" spans="2:10" x14ac:dyDescent="0.2">
      <c r="B16" s="79" t="s">
        <v>786</v>
      </c>
      <c r="C16" s="58" t="s">
        <v>787</v>
      </c>
      <c r="D16" s="112">
        <v>77</v>
      </c>
    </row>
    <row r="17" spans="2:4" x14ac:dyDescent="0.2">
      <c r="B17" s="79" t="s">
        <v>788</v>
      </c>
      <c r="C17" s="58" t="s">
        <v>781</v>
      </c>
      <c r="D17" s="112">
        <v>9.1999999999999993</v>
      </c>
    </row>
    <row r="18" spans="2:4" x14ac:dyDescent="0.2">
      <c r="B18" s="79" t="s">
        <v>789</v>
      </c>
      <c r="C18" s="58" t="s">
        <v>790</v>
      </c>
      <c r="D18" s="112">
        <v>2587</v>
      </c>
    </row>
    <row r="19" spans="2:4" x14ac:dyDescent="0.2">
      <c r="B19" s="79" t="s">
        <v>791</v>
      </c>
      <c r="C19" s="58" t="s">
        <v>790</v>
      </c>
      <c r="D19" s="112">
        <v>14.7</v>
      </c>
    </row>
    <row r="20" spans="2:4" x14ac:dyDescent="0.2">
      <c r="B20" s="79" t="s">
        <v>792</v>
      </c>
      <c r="C20" s="58" t="s">
        <v>170</v>
      </c>
      <c r="D20" s="112">
        <v>176</v>
      </c>
    </row>
    <row r="21" spans="2:4" x14ac:dyDescent="0.2">
      <c r="B21" s="79" t="s">
        <v>3</v>
      </c>
      <c r="C21" s="58" t="s">
        <v>425</v>
      </c>
      <c r="D21" s="112">
        <v>2026</v>
      </c>
    </row>
    <row r="22" spans="2:4" x14ac:dyDescent="0.2">
      <c r="B22" s="79" t="s">
        <v>793</v>
      </c>
      <c r="C22" s="58" t="s">
        <v>794</v>
      </c>
      <c r="D22" s="112">
        <v>44.4</v>
      </c>
    </row>
  </sheetData>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A5C92-8125-2741-B0AF-6E1D230687CE}">
  <dimension ref="B1:H24"/>
  <sheetViews>
    <sheetView workbookViewId="0">
      <selection activeCell="B2" sqref="B2"/>
    </sheetView>
  </sheetViews>
  <sheetFormatPr baseColWidth="10" defaultColWidth="11" defaultRowHeight="16" x14ac:dyDescent="0.2"/>
  <cols>
    <col min="2" max="2" width="26.33203125" customWidth="1"/>
    <col min="3" max="3" width="19" customWidth="1"/>
    <col min="4" max="4" width="17" customWidth="1"/>
    <col min="5" max="5" width="20" customWidth="1"/>
    <col min="6" max="6" width="26.33203125" customWidth="1"/>
    <col min="7" max="7" width="14.33203125" bestFit="1" customWidth="1"/>
    <col min="8" max="8" width="23.1640625" customWidth="1"/>
  </cols>
  <sheetData>
    <row r="1" spans="2:8" ht="24" x14ac:dyDescent="0.3">
      <c r="B1" s="8" t="s">
        <v>832</v>
      </c>
      <c r="C1" s="8"/>
      <c r="D1" s="8"/>
      <c r="E1" s="8"/>
      <c r="F1" s="8"/>
    </row>
    <row r="3" spans="2:8" ht="68" x14ac:dyDescent="0.2">
      <c r="B3" s="33" t="s">
        <v>3</v>
      </c>
      <c r="C3" s="46" t="s">
        <v>245</v>
      </c>
      <c r="D3" s="46" t="s">
        <v>246</v>
      </c>
      <c r="E3" s="46" t="s">
        <v>247</v>
      </c>
      <c r="F3" s="46" t="s">
        <v>248</v>
      </c>
      <c r="G3" s="46" t="s">
        <v>249</v>
      </c>
      <c r="H3" s="46" t="s">
        <v>250</v>
      </c>
    </row>
    <row r="4" spans="2:8" x14ac:dyDescent="0.2">
      <c r="B4" s="17">
        <v>2010</v>
      </c>
      <c r="C4" s="113">
        <v>4276.5108799999998</v>
      </c>
      <c r="D4" s="113">
        <v>3724.2984700000002</v>
      </c>
      <c r="E4" s="113">
        <v>4334.3348800000003</v>
      </c>
      <c r="F4" s="113">
        <v>2703.5151799999999</v>
      </c>
      <c r="G4" s="114">
        <v>3911.2703099999999</v>
      </c>
      <c r="H4" s="114">
        <v>1814.6021599999999</v>
      </c>
    </row>
    <row r="5" spans="2:8" x14ac:dyDescent="0.2">
      <c r="B5" s="17">
        <v>2011</v>
      </c>
      <c r="C5" s="113">
        <v>5747.9665400000004</v>
      </c>
      <c r="D5" s="113">
        <v>4873.8917799999999</v>
      </c>
      <c r="E5" s="113">
        <v>5864.6905299999999</v>
      </c>
      <c r="F5" s="113">
        <v>3876.4532800000002</v>
      </c>
      <c r="G5" s="114">
        <v>2298.77252</v>
      </c>
      <c r="H5" s="114">
        <v>2274.3566599999999</v>
      </c>
    </row>
    <row r="6" spans="2:8" x14ac:dyDescent="0.2">
      <c r="B6" s="17">
        <v>2012</v>
      </c>
      <c r="C6" s="113">
        <v>4330.1193199999998</v>
      </c>
      <c r="D6" s="113">
        <v>5061.32485</v>
      </c>
      <c r="E6" s="113">
        <v>5522.23711</v>
      </c>
      <c r="F6" s="113">
        <v>4302.3099099999999</v>
      </c>
      <c r="G6" s="114">
        <v>3132.4122200000002</v>
      </c>
      <c r="H6" s="114">
        <v>2900.8391000000001</v>
      </c>
    </row>
    <row r="7" spans="2:8" x14ac:dyDescent="0.2">
      <c r="B7" s="17">
        <v>2013</v>
      </c>
      <c r="C7" s="113">
        <v>5513.8739500000001</v>
      </c>
      <c r="D7" s="113">
        <v>5006.04223</v>
      </c>
      <c r="E7" s="113">
        <v>5617.3265300000003</v>
      </c>
      <c r="F7" s="113">
        <v>4267.7178100000001</v>
      </c>
      <c r="G7" s="114">
        <v>2865.4880800000001</v>
      </c>
      <c r="H7" s="114">
        <v>3473.9367200000002</v>
      </c>
    </row>
    <row r="8" spans="2:8" x14ac:dyDescent="0.2">
      <c r="B8" s="17">
        <v>2014</v>
      </c>
      <c r="C8" s="113">
        <v>6052.0056599999998</v>
      </c>
      <c r="D8" s="113">
        <v>5184.0952699999998</v>
      </c>
      <c r="E8" s="113">
        <v>6052.0056599999998</v>
      </c>
      <c r="F8" s="113">
        <v>5478.1189400000003</v>
      </c>
      <c r="G8" s="114">
        <v>0</v>
      </c>
      <c r="H8" s="114">
        <v>2441.5886300000002</v>
      </c>
    </row>
    <row r="9" spans="2:8" x14ac:dyDescent="0.2">
      <c r="B9" s="17">
        <v>2015</v>
      </c>
      <c r="C9" s="113">
        <v>4851.4127900000003</v>
      </c>
      <c r="D9" s="113">
        <v>5299.0756499999998</v>
      </c>
      <c r="E9" s="113">
        <v>5039.4036900000001</v>
      </c>
      <c r="F9" s="113">
        <v>5619.1327000000001</v>
      </c>
      <c r="G9" s="114">
        <v>3031.5236799999998</v>
      </c>
      <c r="H9" s="114">
        <v>2265.6392999999998</v>
      </c>
    </row>
    <row r="10" spans="2:8" x14ac:dyDescent="0.2">
      <c r="B10" s="17">
        <v>2016</v>
      </c>
      <c r="C10" s="113">
        <v>3696.9867399999998</v>
      </c>
      <c r="D10" s="113">
        <v>4888.8796899999998</v>
      </c>
      <c r="E10" s="113">
        <v>4386.0265499999996</v>
      </c>
      <c r="F10" s="113">
        <v>5323.3999100000001</v>
      </c>
      <c r="G10" s="114">
        <v>2813.1653700000002</v>
      </c>
      <c r="H10" s="114">
        <v>2368.5178700000001</v>
      </c>
    </row>
    <row r="11" spans="2:8" x14ac:dyDescent="0.2">
      <c r="B11" s="17">
        <v>2017</v>
      </c>
      <c r="C11" s="113">
        <v>4692.44218</v>
      </c>
      <c r="D11" s="113">
        <v>4961.3442699999996</v>
      </c>
      <c r="E11" s="113">
        <v>5156.7497700000004</v>
      </c>
      <c r="F11" s="113">
        <v>5250.3024400000004</v>
      </c>
      <c r="G11" s="114">
        <v>3075.4010199999998</v>
      </c>
      <c r="H11" s="114">
        <v>2357.1156299999998</v>
      </c>
    </row>
    <row r="12" spans="2:8" x14ac:dyDescent="0.2">
      <c r="B12" s="17">
        <v>2018</v>
      </c>
      <c r="C12" s="113">
        <v>4052.51728</v>
      </c>
      <c r="D12" s="113">
        <v>4669.0729300000003</v>
      </c>
      <c r="E12" s="113">
        <v>4518.9638400000003</v>
      </c>
      <c r="F12" s="113">
        <v>5030.6298999999999</v>
      </c>
      <c r="G12" s="114">
        <v>2866.2979300000002</v>
      </c>
      <c r="H12" s="114">
        <v>2357.2775999999999</v>
      </c>
    </row>
    <row r="13" spans="2:8" x14ac:dyDescent="0.2">
      <c r="B13" s="17">
        <v>2019</v>
      </c>
      <c r="C13" s="113">
        <v>3714.6950200000001</v>
      </c>
      <c r="D13" s="113">
        <v>4201.6108000000004</v>
      </c>
      <c r="E13" s="113">
        <v>4117.8106600000001</v>
      </c>
      <c r="F13" s="113">
        <v>4643.7909</v>
      </c>
      <c r="G13" s="114">
        <v>2753.74782</v>
      </c>
      <c r="H13" s="114">
        <v>2908.0271699999998</v>
      </c>
    </row>
    <row r="14" spans="2:8" x14ac:dyDescent="0.2">
      <c r="B14" s="17">
        <v>2020</v>
      </c>
      <c r="C14" s="113">
        <v>3045.2092400000001</v>
      </c>
      <c r="D14" s="113">
        <v>3840.3700899999999</v>
      </c>
      <c r="E14" s="113">
        <v>3293.1252500000001</v>
      </c>
      <c r="F14" s="113">
        <v>4294.53521</v>
      </c>
      <c r="G14" s="114">
        <v>2782.9002700000001</v>
      </c>
      <c r="H14" s="114">
        <v>2858.3024799999998</v>
      </c>
    </row>
    <row r="15" spans="2:8" x14ac:dyDescent="0.2">
      <c r="B15" s="17">
        <v>2021</v>
      </c>
      <c r="C15" s="113">
        <v>2882.1345700000002</v>
      </c>
      <c r="D15" s="113">
        <v>3677.39966</v>
      </c>
      <c r="E15" s="113">
        <v>2868.5153100000002</v>
      </c>
      <c r="F15" s="113">
        <v>3991.03296</v>
      </c>
      <c r="G15" s="114">
        <v>2884.59638</v>
      </c>
      <c r="H15" s="114">
        <v>2872.5886799999998</v>
      </c>
    </row>
    <row r="16" spans="2:8" x14ac:dyDescent="0.2">
      <c r="B16" s="17">
        <v>2022</v>
      </c>
      <c r="C16" s="113">
        <v>3250.5060699999999</v>
      </c>
      <c r="D16" s="113">
        <v>3389.01244</v>
      </c>
      <c r="E16" s="113">
        <v>3781.0078600000002</v>
      </c>
      <c r="F16" s="113">
        <v>3715.8845799999999</v>
      </c>
      <c r="G16" s="114">
        <v>3177.04817</v>
      </c>
      <c r="H16" s="114">
        <v>2892.9181199999998</v>
      </c>
    </row>
    <row r="17" spans="2:8" x14ac:dyDescent="0.2">
      <c r="B17" s="17">
        <v>2023</v>
      </c>
      <c r="C17" s="113">
        <v>3377.7501499999998</v>
      </c>
      <c r="D17" s="113">
        <v>3254.0590099999999</v>
      </c>
      <c r="E17" s="113">
        <v>3355.7296500000002</v>
      </c>
      <c r="F17" s="113">
        <v>3483.2377499999998</v>
      </c>
      <c r="G17" s="114">
        <v>3432.2381700000001</v>
      </c>
      <c r="H17" s="114">
        <v>3006.1061599999998</v>
      </c>
    </row>
    <row r="18" spans="2:8" x14ac:dyDescent="0.2">
      <c r="B18" s="17">
        <v>2024</v>
      </c>
      <c r="C18" s="113">
        <v>3006.5767700000001</v>
      </c>
      <c r="D18" s="113">
        <v>3112.4353599999999</v>
      </c>
      <c r="E18" s="113">
        <v>3420.1638600000001</v>
      </c>
      <c r="F18" s="113">
        <v>3343.7083899999998</v>
      </c>
      <c r="G18" s="114">
        <v>2801.5220399999998</v>
      </c>
      <c r="H18" s="114">
        <v>3015.6610099999998</v>
      </c>
    </row>
    <row r="19" spans="2:8" x14ac:dyDescent="0.2">
      <c r="B19" s="17">
        <v>2025</v>
      </c>
      <c r="C19" s="113">
        <v>3117.35374</v>
      </c>
      <c r="D19" s="113">
        <v>3126.8642599999998</v>
      </c>
      <c r="E19" s="113">
        <v>2905.1120700000001</v>
      </c>
      <c r="F19" s="113">
        <v>3266.1057500000002</v>
      </c>
      <c r="G19" s="114">
        <v>3230.76118</v>
      </c>
      <c r="H19" s="114">
        <v>3105.2331899999999</v>
      </c>
    </row>
    <row r="20" spans="2:8" x14ac:dyDescent="0.2">
      <c r="B20" s="17">
        <v>2026</v>
      </c>
      <c r="C20" s="113">
        <v>3247.6641500000001</v>
      </c>
      <c r="D20" s="113">
        <v>3199.9701799999998</v>
      </c>
      <c r="E20" s="113">
        <v>3334.6559999999999</v>
      </c>
      <c r="F20" s="113">
        <v>3359.3338899999999</v>
      </c>
      <c r="G20" s="114">
        <v>3184.9926300000002</v>
      </c>
      <c r="H20" s="114">
        <v>3165.3124400000002</v>
      </c>
    </row>
    <row r="21" spans="2:8" x14ac:dyDescent="0.2">
      <c r="B21" s="17">
        <v>2027</v>
      </c>
      <c r="C21" s="113">
        <v>2574.2984099999999</v>
      </c>
      <c r="D21" s="113">
        <v>3064.7286399999998</v>
      </c>
      <c r="E21" s="113">
        <v>2103.7530200000001</v>
      </c>
      <c r="F21" s="113">
        <v>3023.88292</v>
      </c>
      <c r="G21" s="114">
        <v>3680.4833600000002</v>
      </c>
      <c r="H21" s="114">
        <v>3265.9994700000002</v>
      </c>
    </row>
    <row r="22" spans="2:8" x14ac:dyDescent="0.2">
      <c r="B22" s="17">
        <v>2028</v>
      </c>
      <c r="C22" s="113">
        <v>3863.78971</v>
      </c>
      <c r="D22" s="113">
        <v>3161.9365600000001</v>
      </c>
      <c r="E22" s="113">
        <v>3143.7351100000001</v>
      </c>
      <c r="F22" s="113">
        <v>2981.4840100000001</v>
      </c>
      <c r="G22" s="114">
        <v>4272.6861500000005</v>
      </c>
      <c r="H22" s="114">
        <v>3434.08907</v>
      </c>
    </row>
    <row r="23" spans="2:8" x14ac:dyDescent="0.2">
      <c r="B23" s="17">
        <v>2029</v>
      </c>
      <c r="C23" s="113">
        <v>2776.0209500000001</v>
      </c>
      <c r="D23" s="113">
        <v>3115.82539</v>
      </c>
      <c r="E23" s="113">
        <v>1940.5285100000001</v>
      </c>
      <c r="F23" s="113">
        <v>2685.5569399999999</v>
      </c>
      <c r="G23" s="114">
        <v>2906.5666500000002</v>
      </c>
      <c r="H23" s="114">
        <v>3455.0979900000002</v>
      </c>
    </row>
    <row r="24" spans="2:8" x14ac:dyDescent="0.2">
      <c r="B24" s="17">
        <v>2030</v>
      </c>
      <c r="C24" s="113">
        <v>2901.8636799999999</v>
      </c>
      <c r="D24" s="113">
        <v>3072.7273799999998</v>
      </c>
      <c r="E24" s="113">
        <v>2018.9201700000001</v>
      </c>
      <c r="F24" s="113">
        <v>2508.3185600000002</v>
      </c>
      <c r="G24" s="114">
        <v>3245.5884099999998</v>
      </c>
      <c r="H24" s="114">
        <v>3458.0634399999999</v>
      </c>
    </row>
  </sheetData>
  <phoneticPr fontId="5" type="noConversion"/>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AD646-9785-F044-AD0E-1F093E65C2E0}">
  <dimension ref="B1:E6"/>
  <sheetViews>
    <sheetView workbookViewId="0">
      <selection activeCell="B2" sqref="B2"/>
    </sheetView>
  </sheetViews>
  <sheetFormatPr baseColWidth="10" defaultColWidth="11" defaultRowHeight="16" x14ac:dyDescent="0.2"/>
  <cols>
    <col min="2" max="2" width="26.33203125" customWidth="1"/>
    <col min="3" max="4" width="19" customWidth="1"/>
    <col min="5" max="5" width="17" customWidth="1"/>
  </cols>
  <sheetData>
    <row r="1" spans="2:5" ht="24" x14ac:dyDescent="0.3">
      <c r="B1" s="8" t="s">
        <v>833</v>
      </c>
      <c r="C1" s="8"/>
      <c r="D1" s="8"/>
      <c r="E1" s="8"/>
    </row>
    <row r="3" spans="2:5" ht="17" x14ac:dyDescent="0.2">
      <c r="B3" s="33" t="s">
        <v>165</v>
      </c>
      <c r="C3" s="46" t="s">
        <v>770</v>
      </c>
      <c r="D3" s="46" t="s">
        <v>801</v>
      </c>
      <c r="E3" s="46" t="s">
        <v>802</v>
      </c>
    </row>
    <row r="4" spans="2:5" x14ac:dyDescent="0.2">
      <c r="B4" s="17" t="s">
        <v>798</v>
      </c>
      <c r="C4" s="113">
        <v>3400</v>
      </c>
      <c r="D4" s="113"/>
      <c r="E4" s="113"/>
    </row>
    <row r="5" spans="2:5" x14ac:dyDescent="0.2">
      <c r="B5" s="17" t="s">
        <v>800</v>
      </c>
      <c r="C5" s="113">
        <v>3456</v>
      </c>
      <c r="D5" s="113">
        <v>56</v>
      </c>
      <c r="E5" s="115">
        <v>0.02</v>
      </c>
    </row>
    <row r="6" spans="2:5" x14ac:dyDescent="0.2">
      <c r="B6" s="17" t="s">
        <v>799</v>
      </c>
      <c r="C6" s="113">
        <v>4163</v>
      </c>
      <c r="D6" s="113">
        <v>763</v>
      </c>
      <c r="E6" s="115">
        <v>0.22</v>
      </c>
    </row>
  </sheetData>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S6"/>
  <sheetViews>
    <sheetView workbookViewId="0">
      <selection activeCell="B2" sqref="B2"/>
    </sheetView>
  </sheetViews>
  <sheetFormatPr baseColWidth="10" defaultColWidth="11" defaultRowHeight="16" x14ac:dyDescent="0.2"/>
  <cols>
    <col min="2" max="2" width="26.33203125" style="3" customWidth="1"/>
    <col min="3" max="3" width="11.1640625" customWidth="1"/>
    <col min="4" max="4" width="10.83203125" customWidth="1"/>
    <col min="5" max="5" width="18.83203125" customWidth="1"/>
    <col min="6" max="6" width="15.5" customWidth="1"/>
    <col min="7" max="7" width="15.83203125" customWidth="1"/>
    <col min="8" max="8" width="13.1640625" customWidth="1"/>
    <col min="9" max="9" width="9.83203125" customWidth="1"/>
    <col min="10" max="10" width="10.1640625" customWidth="1"/>
  </cols>
  <sheetData>
    <row r="1" spans="2:19" ht="24" x14ac:dyDescent="0.3">
      <c r="B1" s="7" t="s">
        <v>834</v>
      </c>
    </row>
    <row r="3" spans="2:19" x14ac:dyDescent="0.2">
      <c r="B3" s="17" t="s">
        <v>40</v>
      </c>
      <c r="C3" s="5" t="s">
        <v>157</v>
      </c>
      <c r="D3" s="5" t="s">
        <v>127</v>
      </c>
      <c r="E3" s="5" t="s">
        <v>128</v>
      </c>
      <c r="F3" s="5" t="s">
        <v>129</v>
      </c>
      <c r="G3" s="5" t="s">
        <v>130</v>
      </c>
      <c r="H3" s="5" t="s">
        <v>131</v>
      </c>
      <c r="I3" s="5" t="s">
        <v>132</v>
      </c>
      <c r="J3" s="5" t="s">
        <v>133</v>
      </c>
      <c r="K3" s="1" t="s">
        <v>134</v>
      </c>
      <c r="L3" s="1" t="s">
        <v>135</v>
      </c>
      <c r="M3" s="1" t="s">
        <v>136</v>
      </c>
      <c r="N3" s="1" t="s">
        <v>137</v>
      </c>
      <c r="O3" s="1" t="s">
        <v>166</v>
      </c>
      <c r="P3" s="1" t="s">
        <v>167</v>
      </c>
      <c r="Q3" s="1" t="s">
        <v>168</v>
      </c>
      <c r="R3" s="1" t="s">
        <v>169</v>
      </c>
      <c r="S3" s="1" t="s">
        <v>244</v>
      </c>
    </row>
    <row r="4" spans="2:19" x14ac:dyDescent="0.2">
      <c r="B4" s="17" t="s">
        <v>803</v>
      </c>
      <c r="C4" s="18"/>
      <c r="D4" s="18"/>
      <c r="E4" s="18">
        <v>72.599999999999994</v>
      </c>
      <c r="F4" s="18"/>
      <c r="G4" s="18"/>
      <c r="H4" s="18"/>
      <c r="I4" s="18"/>
      <c r="J4" s="18"/>
      <c r="K4" s="58"/>
      <c r="L4" s="58"/>
      <c r="M4" s="58"/>
      <c r="N4" s="58"/>
      <c r="O4" s="58"/>
      <c r="P4" s="58"/>
      <c r="Q4" s="58"/>
      <c r="R4" s="58"/>
      <c r="S4" s="58"/>
    </row>
    <row r="5" spans="2:19" x14ac:dyDescent="0.2">
      <c r="B5" s="17" t="s">
        <v>804</v>
      </c>
      <c r="C5" s="18">
        <v>95.4</v>
      </c>
      <c r="D5" s="18"/>
      <c r="E5" s="18"/>
      <c r="F5" s="18"/>
      <c r="G5" s="18"/>
      <c r="H5" s="18"/>
      <c r="I5" s="18"/>
      <c r="J5" s="18"/>
      <c r="K5" s="58"/>
      <c r="L5" s="58"/>
      <c r="M5" s="58"/>
      <c r="N5" s="58"/>
      <c r="O5" s="58"/>
      <c r="P5" s="58"/>
      <c r="Q5" s="58"/>
      <c r="R5" s="58"/>
      <c r="S5" s="58">
        <v>77.3</v>
      </c>
    </row>
    <row r="6" spans="2:19" x14ac:dyDescent="0.2">
      <c r="B6" s="17" t="s">
        <v>805</v>
      </c>
      <c r="C6" s="18"/>
      <c r="D6" s="18"/>
      <c r="E6" s="18"/>
      <c r="F6" s="18"/>
      <c r="G6" s="18">
        <v>89.4</v>
      </c>
      <c r="H6" s="18"/>
      <c r="I6" s="18"/>
      <c r="J6" s="18">
        <v>78.5</v>
      </c>
      <c r="K6" s="58"/>
      <c r="L6" s="58"/>
      <c r="M6" s="58">
        <v>59.2</v>
      </c>
      <c r="N6" s="58"/>
      <c r="O6" s="58"/>
      <c r="P6" s="58"/>
      <c r="Q6" s="58"/>
      <c r="R6" s="58"/>
      <c r="S6" s="58"/>
    </row>
  </sheetData>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F41"/>
  <sheetViews>
    <sheetView workbookViewId="0">
      <selection activeCell="B1" sqref="B1"/>
    </sheetView>
  </sheetViews>
  <sheetFormatPr baseColWidth="10" defaultColWidth="11" defaultRowHeight="16" x14ac:dyDescent="0.2"/>
  <cols>
    <col min="2" max="2" width="26.33203125" customWidth="1"/>
    <col min="3" max="3" width="27.33203125" customWidth="1"/>
    <col min="4" max="4" width="15.83203125" style="1" customWidth="1"/>
    <col min="5" max="5" width="29.83203125" style="1" customWidth="1"/>
  </cols>
  <sheetData>
    <row r="1" spans="2:5" ht="24" x14ac:dyDescent="0.3">
      <c r="B1" s="8" t="s">
        <v>835</v>
      </c>
    </row>
    <row r="3" spans="2:5" s="2" customFormat="1" x14ac:dyDescent="0.2">
      <c r="B3" s="6" t="s">
        <v>3</v>
      </c>
      <c r="C3" s="6" t="s">
        <v>29</v>
      </c>
      <c r="D3" s="6" t="s">
        <v>18</v>
      </c>
      <c r="E3" s="6" t="s">
        <v>806</v>
      </c>
    </row>
    <row r="4" spans="2:5" x14ac:dyDescent="0.2">
      <c r="B4" s="6">
        <v>2017</v>
      </c>
      <c r="C4" s="6" t="s">
        <v>251</v>
      </c>
      <c r="D4" s="6" t="s">
        <v>11</v>
      </c>
      <c r="E4" s="6">
        <v>221</v>
      </c>
    </row>
    <row r="5" spans="2:5" x14ac:dyDescent="0.2">
      <c r="B5" s="6">
        <v>2017</v>
      </c>
      <c r="C5" s="6" t="s">
        <v>252</v>
      </c>
      <c r="D5" s="6" t="s">
        <v>11</v>
      </c>
      <c r="E5" s="6">
        <v>221</v>
      </c>
    </row>
    <row r="6" spans="2:5" x14ac:dyDescent="0.2">
      <c r="B6" s="6">
        <v>2019</v>
      </c>
      <c r="C6" s="6" t="s">
        <v>30</v>
      </c>
      <c r="D6" s="6" t="s">
        <v>11</v>
      </c>
      <c r="E6" s="6">
        <v>221</v>
      </c>
    </row>
    <row r="7" spans="2:5" x14ac:dyDescent="0.2">
      <c r="B7" s="6">
        <v>2019</v>
      </c>
      <c r="C7" s="6" t="s">
        <v>31</v>
      </c>
      <c r="D7" s="6" t="s">
        <v>11</v>
      </c>
      <c r="E7" s="6">
        <v>172</v>
      </c>
    </row>
    <row r="8" spans="2:5" x14ac:dyDescent="0.2">
      <c r="B8" s="6">
        <v>2019</v>
      </c>
      <c r="C8" s="6" t="s">
        <v>32</v>
      </c>
      <c r="D8" s="6" t="s">
        <v>11</v>
      </c>
      <c r="E8" s="6">
        <v>206</v>
      </c>
    </row>
    <row r="9" spans="2:5" x14ac:dyDescent="0.2">
      <c r="B9" s="6">
        <v>2019</v>
      </c>
      <c r="C9" s="6" t="s">
        <v>33</v>
      </c>
      <c r="D9" s="6" t="s">
        <v>11</v>
      </c>
      <c r="E9" s="6">
        <v>177</v>
      </c>
    </row>
    <row r="10" spans="2:5" x14ac:dyDescent="0.2">
      <c r="B10" s="6">
        <v>2019</v>
      </c>
      <c r="C10" s="6" t="s">
        <v>106</v>
      </c>
      <c r="D10" s="6" t="s">
        <v>6</v>
      </c>
      <c r="E10" s="6">
        <v>115</v>
      </c>
    </row>
    <row r="11" spans="2:5" x14ac:dyDescent="0.2">
      <c r="B11" s="6">
        <v>2020</v>
      </c>
      <c r="C11" s="6" t="s">
        <v>34</v>
      </c>
      <c r="D11" s="6" t="s">
        <v>11</v>
      </c>
      <c r="E11" s="6">
        <v>168</v>
      </c>
    </row>
    <row r="12" spans="2:5" x14ac:dyDescent="0.2">
      <c r="B12" s="6">
        <v>2020</v>
      </c>
      <c r="C12" s="6" t="s">
        <v>107</v>
      </c>
      <c r="D12" s="6" t="s">
        <v>6</v>
      </c>
      <c r="E12" s="6">
        <v>98</v>
      </c>
    </row>
    <row r="13" spans="2:5" x14ac:dyDescent="0.2">
      <c r="B13" s="6">
        <v>2020</v>
      </c>
      <c r="C13" s="6" t="s">
        <v>108</v>
      </c>
      <c r="D13" s="6" t="s">
        <v>8</v>
      </c>
      <c r="E13" s="6">
        <v>114</v>
      </c>
    </row>
    <row r="14" spans="2:5" x14ac:dyDescent="0.2">
      <c r="B14" s="6">
        <v>2021</v>
      </c>
      <c r="C14" s="6" t="s">
        <v>35</v>
      </c>
      <c r="D14" s="6" t="s">
        <v>11</v>
      </c>
      <c r="E14" s="6">
        <v>144</v>
      </c>
    </row>
    <row r="15" spans="2:5" x14ac:dyDescent="0.2">
      <c r="B15" s="6">
        <v>2021</v>
      </c>
      <c r="C15" s="6" t="s">
        <v>109</v>
      </c>
      <c r="D15" s="6" t="s">
        <v>6</v>
      </c>
      <c r="E15" s="6">
        <v>75</v>
      </c>
    </row>
    <row r="16" spans="2:5" x14ac:dyDescent="0.2">
      <c r="B16" s="6">
        <v>2022</v>
      </c>
      <c r="C16" s="6" t="s">
        <v>36</v>
      </c>
      <c r="D16" s="6" t="s">
        <v>11</v>
      </c>
      <c r="E16" s="6">
        <v>111</v>
      </c>
    </row>
    <row r="17" spans="2:5" x14ac:dyDescent="0.2">
      <c r="B17" s="6">
        <v>2022</v>
      </c>
      <c r="C17" s="6" t="s">
        <v>37</v>
      </c>
      <c r="D17" s="6" t="s">
        <v>11</v>
      </c>
      <c r="E17" s="6">
        <v>111</v>
      </c>
    </row>
    <row r="18" spans="2:5" x14ac:dyDescent="0.2">
      <c r="B18" s="6">
        <v>2022</v>
      </c>
      <c r="C18" s="6" t="s">
        <v>110</v>
      </c>
      <c r="D18" s="6" t="s">
        <v>8</v>
      </c>
      <c r="E18" s="6">
        <v>84</v>
      </c>
    </row>
    <row r="19" spans="2:5" x14ac:dyDescent="0.2">
      <c r="B19" s="6">
        <v>2022</v>
      </c>
      <c r="C19" s="6" t="s">
        <v>38</v>
      </c>
      <c r="D19" s="6" t="s">
        <v>12</v>
      </c>
      <c r="E19" s="6">
        <v>103</v>
      </c>
    </row>
    <row r="20" spans="2:5" x14ac:dyDescent="0.2">
      <c r="B20" s="6">
        <v>2023</v>
      </c>
      <c r="C20" s="6" t="s">
        <v>111</v>
      </c>
      <c r="D20" s="6" t="s">
        <v>8</v>
      </c>
      <c r="E20" s="6">
        <v>92</v>
      </c>
    </row>
    <row r="21" spans="2:5" x14ac:dyDescent="0.2">
      <c r="B21" s="6">
        <v>2023</v>
      </c>
      <c r="C21" s="6" t="s">
        <v>112</v>
      </c>
      <c r="D21" s="6" t="s">
        <v>7</v>
      </c>
      <c r="E21" s="6">
        <v>87</v>
      </c>
    </row>
    <row r="22" spans="2:5" x14ac:dyDescent="0.2">
      <c r="B22" s="6">
        <v>2023</v>
      </c>
      <c r="C22" s="6" t="s">
        <v>39</v>
      </c>
      <c r="D22" s="6" t="s">
        <v>12</v>
      </c>
      <c r="E22" s="6">
        <v>88</v>
      </c>
    </row>
    <row r="23" spans="2:5" x14ac:dyDescent="0.2">
      <c r="B23" s="6">
        <v>2023</v>
      </c>
      <c r="C23" s="6" t="s">
        <v>97</v>
      </c>
      <c r="D23" s="6" t="s">
        <v>12</v>
      </c>
      <c r="E23" s="6">
        <v>95</v>
      </c>
    </row>
    <row r="24" spans="2:5" x14ac:dyDescent="0.2">
      <c r="B24" s="6">
        <v>2023</v>
      </c>
      <c r="C24" s="6" t="s">
        <v>118</v>
      </c>
      <c r="D24" s="6" t="s">
        <v>12</v>
      </c>
      <c r="E24" s="6">
        <v>149</v>
      </c>
    </row>
    <row r="25" spans="2:5" x14ac:dyDescent="0.2">
      <c r="B25" s="6">
        <v>2023</v>
      </c>
      <c r="C25" s="6" t="s">
        <v>91</v>
      </c>
      <c r="D25" s="6" t="s">
        <v>12</v>
      </c>
      <c r="E25" s="6">
        <v>149</v>
      </c>
    </row>
    <row r="26" spans="2:5" x14ac:dyDescent="0.2">
      <c r="B26" s="6">
        <v>2024</v>
      </c>
      <c r="C26" s="6" t="s">
        <v>113</v>
      </c>
      <c r="D26" s="6" t="s">
        <v>7</v>
      </c>
      <c r="E26" s="6">
        <v>92</v>
      </c>
    </row>
    <row r="27" spans="2:5" x14ac:dyDescent="0.2">
      <c r="B27" s="6">
        <v>2024</v>
      </c>
      <c r="C27" s="6" t="s">
        <v>114</v>
      </c>
      <c r="D27" s="6" t="s">
        <v>7</v>
      </c>
      <c r="E27" s="6">
        <v>91</v>
      </c>
    </row>
    <row r="28" spans="2:5" x14ac:dyDescent="0.2">
      <c r="B28" s="6">
        <v>2024</v>
      </c>
      <c r="C28" s="6" t="s">
        <v>115</v>
      </c>
      <c r="D28" s="6" t="s">
        <v>7</v>
      </c>
      <c r="E28" s="6">
        <v>90</v>
      </c>
    </row>
    <row r="29" spans="2:5" x14ac:dyDescent="0.2">
      <c r="B29" s="6">
        <v>2024</v>
      </c>
      <c r="C29" s="6" t="s">
        <v>90</v>
      </c>
      <c r="D29" s="6" t="s">
        <v>12</v>
      </c>
      <c r="E29" s="6">
        <v>107</v>
      </c>
    </row>
    <row r="30" spans="2:5" x14ac:dyDescent="0.2">
      <c r="B30" s="6">
        <v>2024</v>
      </c>
      <c r="C30" s="6" t="s">
        <v>89</v>
      </c>
      <c r="D30" s="6" t="s">
        <v>12</v>
      </c>
      <c r="E30" s="6">
        <v>100</v>
      </c>
    </row>
    <row r="31" spans="2:5" x14ac:dyDescent="0.2">
      <c r="B31" s="6">
        <v>2024</v>
      </c>
      <c r="C31" s="6" t="s">
        <v>99</v>
      </c>
      <c r="D31" s="6" t="s">
        <v>12</v>
      </c>
      <c r="E31" s="6">
        <v>93</v>
      </c>
    </row>
    <row r="32" spans="2:5" x14ac:dyDescent="0.2">
      <c r="B32" s="6">
        <v>2024</v>
      </c>
      <c r="C32" s="6" t="s">
        <v>119</v>
      </c>
      <c r="D32" s="6" t="s">
        <v>11</v>
      </c>
      <c r="E32" s="6">
        <v>94</v>
      </c>
    </row>
    <row r="33" spans="2:6" x14ac:dyDescent="0.2">
      <c r="B33" s="6">
        <v>2025</v>
      </c>
      <c r="C33" s="6" t="s">
        <v>116</v>
      </c>
      <c r="D33" s="6" t="s">
        <v>7</v>
      </c>
      <c r="E33" s="6">
        <v>130</v>
      </c>
    </row>
    <row r="34" spans="2:6" x14ac:dyDescent="0.2">
      <c r="B34" s="6">
        <v>2025</v>
      </c>
      <c r="C34" s="6" t="s">
        <v>117</v>
      </c>
      <c r="D34" s="6" t="s">
        <v>7</v>
      </c>
      <c r="E34" s="6">
        <v>94</v>
      </c>
    </row>
    <row r="35" spans="2:6" x14ac:dyDescent="0.2">
      <c r="B35" s="6">
        <v>2025</v>
      </c>
      <c r="C35" s="6" t="s">
        <v>96</v>
      </c>
      <c r="D35" s="6" t="s">
        <v>12</v>
      </c>
      <c r="E35" s="6">
        <v>75</v>
      </c>
    </row>
    <row r="36" spans="2:6" x14ac:dyDescent="0.2">
      <c r="B36" s="6">
        <v>2025</v>
      </c>
      <c r="C36" s="6" t="s">
        <v>120</v>
      </c>
      <c r="D36" s="6" t="s">
        <v>11</v>
      </c>
      <c r="E36" s="6">
        <v>96</v>
      </c>
    </row>
    <row r="37" spans="2:6" x14ac:dyDescent="0.2">
      <c r="B37" s="6">
        <v>2028</v>
      </c>
      <c r="C37" s="6" t="s">
        <v>344</v>
      </c>
      <c r="D37" s="6" t="s">
        <v>12</v>
      </c>
      <c r="E37" s="6">
        <v>108</v>
      </c>
    </row>
    <row r="38" spans="2:6" x14ac:dyDescent="0.2">
      <c r="B38" s="6">
        <v>2026</v>
      </c>
      <c r="C38" s="6" t="s">
        <v>363</v>
      </c>
      <c r="D38" s="6" t="s">
        <v>12</v>
      </c>
      <c r="E38" s="6">
        <v>115</v>
      </c>
    </row>
    <row r="39" spans="2:6" x14ac:dyDescent="0.2">
      <c r="B39" s="10"/>
    </row>
    <row r="40" spans="2:6" x14ac:dyDescent="0.2">
      <c r="B40" s="122"/>
      <c r="C40" s="122"/>
      <c r="D40" s="122"/>
      <c r="E40" s="122"/>
      <c r="F40" s="122"/>
    </row>
    <row r="41" spans="2:6" x14ac:dyDescent="0.2">
      <c r="B41" s="118"/>
      <c r="C41" s="118"/>
      <c r="D41" s="118"/>
      <c r="E41" s="118"/>
      <c r="F41" s="118"/>
    </row>
  </sheetData>
  <mergeCells count="2">
    <mergeCell ref="B40:F40"/>
    <mergeCell ref="B41:F41"/>
  </mergeCells>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T9"/>
  <sheetViews>
    <sheetView workbookViewId="0">
      <selection activeCell="B1" sqref="B1"/>
    </sheetView>
  </sheetViews>
  <sheetFormatPr baseColWidth="10" defaultColWidth="11" defaultRowHeight="16" x14ac:dyDescent="0.2"/>
  <cols>
    <col min="2" max="2" width="26.6640625" style="3" bestFit="1" customWidth="1"/>
    <col min="3" max="3" width="17" style="1" bestFit="1" customWidth="1"/>
    <col min="4" max="14" width="10.83203125" style="1"/>
  </cols>
  <sheetData>
    <row r="1" spans="2:20" ht="24" x14ac:dyDescent="0.3">
      <c r="B1" s="7" t="s">
        <v>836</v>
      </c>
    </row>
    <row r="3" spans="2:20" x14ac:dyDescent="0.2">
      <c r="B3" s="17" t="s">
        <v>40</v>
      </c>
      <c r="C3" s="5" t="s">
        <v>165</v>
      </c>
      <c r="D3" s="5" t="s">
        <v>127</v>
      </c>
      <c r="E3" s="5" t="s">
        <v>128</v>
      </c>
      <c r="F3" s="5" t="s">
        <v>129</v>
      </c>
      <c r="G3" s="5" t="s">
        <v>130</v>
      </c>
      <c r="H3" s="5" t="s">
        <v>131</v>
      </c>
      <c r="I3" s="5" t="s">
        <v>132</v>
      </c>
      <c r="J3" s="5" t="s">
        <v>133</v>
      </c>
      <c r="K3" s="5" t="s">
        <v>134</v>
      </c>
      <c r="L3" s="5" t="s">
        <v>135</v>
      </c>
      <c r="M3" s="5" t="s">
        <v>136</v>
      </c>
      <c r="N3" s="5" t="s">
        <v>137</v>
      </c>
      <c r="O3" s="1" t="s">
        <v>166</v>
      </c>
      <c r="P3" s="1" t="s">
        <v>167</v>
      </c>
      <c r="Q3" s="1" t="s">
        <v>168</v>
      </c>
      <c r="R3" s="1" t="s">
        <v>169</v>
      </c>
      <c r="S3" s="1" t="s">
        <v>244</v>
      </c>
      <c r="T3" s="1" t="s">
        <v>816</v>
      </c>
    </row>
    <row r="4" spans="2:20" x14ac:dyDescent="0.2">
      <c r="B4" s="17" t="s">
        <v>764</v>
      </c>
      <c r="C4" s="18" t="s">
        <v>807</v>
      </c>
      <c r="D4" s="18">
        <v>228.04484302821399</v>
      </c>
      <c r="E4" s="18">
        <v>205.547833340485</v>
      </c>
      <c r="F4" s="18">
        <v>176.49032045415501</v>
      </c>
      <c r="G4" s="18">
        <v>148.424122234789</v>
      </c>
      <c r="H4" s="18">
        <v>123.989856931246</v>
      </c>
      <c r="I4" s="18">
        <v>105.45623174308599</v>
      </c>
      <c r="J4" s="18">
        <v>90.853741987012597</v>
      </c>
      <c r="K4" s="18">
        <v>80.371419810976604</v>
      </c>
      <c r="L4" s="18">
        <v>71.279721790536399</v>
      </c>
      <c r="M4" s="18">
        <v>63.770025031687602</v>
      </c>
      <c r="N4" s="18">
        <v>57.685283778253698</v>
      </c>
      <c r="O4" s="58">
        <v>55.343479479002298</v>
      </c>
      <c r="P4" s="58">
        <v>53.704602574527797</v>
      </c>
      <c r="Q4" s="58">
        <v>52.161993884096503</v>
      </c>
      <c r="R4" s="58">
        <v>50.8107519613378</v>
      </c>
      <c r="S4" s="58">
        <v>49.603180174896998</v>
      </c>
      <c r="T4" s="58">
        <v>48.738351077470099</v>
      </c>
    </row>
    <row r="5" spans="2:20" x14ac:dyDescent="0.2">
      <c r="B5" s="17" t="s">
        <v>808</v>
      </c>
      <c r="C5" s="18" t="s">
        <v>809</v>
      </c>
      <c r="D5" s="18">
        <v>184.97472122900399</v>
      </c>
      <c r="E5" s="18"/>
      <c r="F5" s="18"/>
      <c r="G5" s="18"/>
      <c r="H5" s="18"/>
      <c r="I5" s="18">
        <v>120.476956589944</v>
      </c>
      <c r="J5" s="18"/>
      <c r="K5" s="18"/>
      <c r="L5" s="18"/>
      <c r="M5" s="18"/>
      <c r="N5" s="18">
        <v>79.101032104508604</v>
      </c>
      <c r="O5" s="58"/>
      <c r="P5" s="58"/>
      <c r="Q5" s="58"/>
      <c r="R5" s="58"/>
      <c r="S5" s="58">
        <v>48.677558218159199</v>
      </c>
      <c r="T5" s="58"/>
    </row>
    <row r="6" spans="2:20" x14ac:dyDescent="0.2">
      <c r="B6" s="17" t="s">
        <v>810</v>
      </c>
      <c r="C6" s="18" t="s">
        <v>78</v>
      </c>
      <c r="D6" s="18"/>
      <c r="E6" s="18"/>
      <c r="F6" s="18">
        <v>93.766136754227304</v>
      </c>
      <c r="G6" s="18"/>
      <c r="H6" s="18"/>
      <c r="I6" s="18"/>
      <c r="J6" s="18"/>
      <c r="K6" s="18">
        <v>77.411578023766296</v>
      </c>
      <c r="L6" s="18"/>
      <c r="M6" s="18"/>
      <c r="N6" s="18"/>
      <c r="O6" s="58"/>
      <c r="P6" s="58">
        <v>67.598842777260302</v>
      </c>
      <c r="Q6" s="58"/>
      <c r="R6" s="58"/>
      <c r="S6" s="58"/>
      <c r="T6" s="58"/>
    </row>
    <row r="7" spans="2:20" x14ac:dyDescent="0.2">
      <c r="B7" s="17" t="s">
        <v>811</v>
      </c>
      <c r="C7" s="18" t="s">
        <v>454</v>
      </c>
      <c r="D7" s="18"/>
      <c r="E7" s="18"/>
      <c r="F7" s="18">
        <v>99.217656341334404</v>
      </c>
      <c r="G7" s="18"/>
      <c r="H7" s="18"/>
      <c r="I7" s="18"/>
      <c r="J7" s="18"/>
      <c r="K7" s="18">
        <v>80.682489765743796</v>
      </c>
      <c r="L7" s="18"/>
      <c r="M7" s="18"/>
      <c r="N7" s="18"/>
      <c r="O7" s="58"/>
      <c r="P7" s="58">
        <v>68.471085913254797</v>
      </c>
      <c r="Q7" s="58"/>
      <c r="R7" s="58"/>
      <c r="S7" s="58"/>
      <c r="T7" s="58"/>
    </row>
    <row r="8" spans="2:20" x14ac:dyDescent="0.2">
      <c r="B8" s="17" t="s">
        <v>812</v>
      </c>
      <c r="C8" s="18" t="s">
        <v>813</v>
      </c>
      <c r="D8" s="18"/>
      <c r="E8" s="18"/>
      <c r="F8" s="18"/>
      <c r="G8" s="18"/>
      <c r="H8" s="18"/>
      <c r="I8" s="18"/>
      <c r="J8" s="18"/>
      <c r="K8" s="18">
        <v>161.812100350284</v>
      </c>
      <c r="L8" s="18">
        <v>127.411102635589</v>
      </c>
      <c r="M8" s="18">
        <v>91.735993874993397</v>
      </c>
      <c r="N8" s="18">
        <v>77.720772586107202</v>
      </c>
      <c r="O8" s="58">
        <v>72.624328484798397</v>
      </c>
      <c r="P8" s="58">
        <v>67.527884383489507</v>
      </c>
      <c r="Q8" s="58">
        <v>61.157329246566597</v>
      </c>
      <c r="R8" s="58">
        <v>61.157329246566597</v>
      </c>
      <c r="S8" s="58">
        <v>53.512663094603397</v>
      </c>
      <c r="T8" s="58">
        <v>50.964441043948902</v>
      </c>
    </row>
    <row r="9" spans="2:20" x14ac:dyDescent="0.2">
      <c r="B9" s="17" t="s">
        <v>814</v>
      </c>
      <c r="C9" s="18" t="s">
        <v>815</v>
      </c>
      <c r="D9" s="18"/>
      <c r="E9" s="18"/>
      <c r="F9" s="18"/>
      <c r="G9" s="18"/>
      <c r="H9" s="18"/>
      <c r="I9" s="18">
        <v>133.769387406856</v>
      </c>
      <c r="J9" s="18"/>
      <c r="K9" s="18"/>
      <c r="L9" s="18"/>
      <c r="M9" s="18"/>
      <c r="N9" s="18"/>
      <c r="O9" s="58"/>
      <c r="P9" s="58"/>
      <c r="Q9" s="58"/>
      <c r="R9" s="58"/>
      <c r="S9" s="58">
        <v>107.013329310778</v>
      </c>
      <c r="T9" s="58"/>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cc0acfb-7a84-4139-b437-e8cc1385a982">
      <Terms xmlns="http://schemas.microsoft.com/office/infopath/2007/PartnerControls"/>
    </lcf76f155ced4ddcb4097134ff3c332f>
    <TaxCatchAll xmlns="a1209734-415e-409e-846a-0b9280756d77" xsi:nil="true"/>
    <WBS_x0020_and_x0020_Title xmlns="6cc0acfb-7a84-4139-b437-e8cc1385a982" xsi:nil="true"/>
    <Status xmlns="6cc0acfb-7a84-4139-b437-e8cc1385a9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F98910B5085B44BF117E6717AC5E9B" ma:contentTypeVersion="15" ma:contentTypeDescription="Create a new document." ma:contentTypeScope="" ma:versionID="3c08da36757b00c5d880a1f69e0d6437">
  <xsd:schema xmlns:xsd="http://www.w3.org/2001/XMLSchema" xmlns:xs="http://www.w3.org/2001/XMLSchema" xmlns:p="http://schemas.microsoft.com/office/2006/metadata/properties" xmlns:ns2="6cc0acfb-7a84-4139-b437-e8cc1385a982" xmlns:ns3="a1209734-415e-409e-846a-0b9280756d77" targetNamespace="http://schemas.microsoft.com/office/2006/metadata/properties" ma:root="true" ma:fieldsID="e7915b7d8ad3595c91bbc7659eae61db" ns2:_="" ns3:_="">
    <xsd:import namespace="6cc0acfb-7a84-4139-b437-e8cc1385a982"/>
    <xsd:import namespace="a1209734-415e-409e-846a-0b9280756d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WBS_x0020_and_x0020_Title" minOccurs="0"/>
                <xsd:element ref="ns2: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0acfb-7a84-4139-b437-e8cc1385a9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WBS_x0020_and_x0020_Title" ma:index="18" nillable="true" ma:displayName="WBS and Title" ma:format="Dropdown" ma:internalName="WBS_x0020_and_x0020_Title">
      <xsd:simpleType>
        <xsd:restriction base="dms:Choice">
          <xsd:enumeration value="Enter Choice #1"/>
          <xsd:enumeration value="Enter Choice #2"/>
          <xsd:enumeration value="Enter Choice #3"/>
        </xsd:restriction>
      </xsd:simpleType>
    </xsd:element>
    <xsd:element name="Status" ma:index="19" nillable="true" ma:displayName="Status" ma:format="Dropdown" ma:internalName="Status">
      <xsd:simpleType>
        <xsd:restriction base="dms:Choice">
          <xsd:enumeration value="Enter Choice #1"/>
          <xsd:enumeration value="Enter Choice #2"/>
          <xsd:enumeration value="Enter Choice #3"/>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834da80-57da-4863-8816-2e6886d1e8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209734-415e-409e-846a-0b9280756d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2c832a2-669a-4b6f-99cf-5e0281990d0d}" ma:internalName="TaxCatchAll" ma:showField="CatchAllData" ma:web="a1209734-415e-409e-846a-0b9280756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D9FDA4-451F-4BCC-870A-BEE2565FEA26}">
  <ds:schemaRefs>
    <ds:schemaRef ds:uri="http://schemas.microsoft.com/sharepoint/v3/contenttype/forms"/>
  </ds:schemaRefs>
</ds:datastoreItem>
</file>

<file path=customXml/itemProps2.xml><?xml version="1.0" encoding="utf-8"?>
<ds:datastoreItem xmlns:ds="http://schemas.openxmlformats.org/officeDocument/2006/customXml" ds:itemID="{83F7F8B0-AC7A-432A-9701-174F73A8BACC}">
  <ds:schemaRefs>
    <ds:schemaRef ds:uri="http://schemas.microsoft.com/office/2006/metadata/properties"/>
    <ds:schemaRef ds:uri="http://schemas.microsoft.com/office/infopath/2007/PartnerControls"/>
    <ds:schemaRef ds:uri="5be15ab8-8c4a-4ef0-ad93-561c97e289c1"/>
    <ds:schemaRef ds:uri="591ce121-a3af-4f8f-a449-410df08fdb89"/>
  </ds:schemaRefs>
</ds:datastoreItem>
</file>

<file path=customXml/itemProps3.xml><?xml version="1.0" encoding="utf-8"?>
<ds:datastoreItem xmlns:ds="http://schemas.openxmlformats.org/officeDocument/2006/customXml" ds:itemID="{9AEFD7FE-2F60-43CB-BA14-E8B9097113B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44</vt:i4>
      </vt:variant>
    </vt:vector>
  </HeadingPairs>
  <TitlesOfParts>
    <vt:vector size="44" baseType="lpstr">
      <vt:lpstr>Sheet Names</vt:lpstr>
      <vt:lpstr>Table of Contents</vt:lpstr>
      <vt:lpstr>T1, Pipeline Definition</vt:lpstr>
      <vt:lpstr>T2, US Pipeline Definition</vt:lpstr>
      <vt:lpstr>F1-2, US State Pipeline</vt:lpstr>
      <vt:lpstr>T3, US Pipeline, Part 1</vt:lpstr>
      <vt:lpstr>T4, US Pipeline, Part 2</vt:lpstr>
      <vt:lpstr>T5, US Pipeline, Part 3</vt:lpstr>
      <vt:lpstr>F6, US Forecasts</vt:lpstr>
      <vt:lpstr>T6, US Permitting Status</vt:lpstr>
      <vt:lpstr>T7, NY Bight Lease Auctions</vt:lpstr>
      <vt:lpstr>T8, CA Long Bay Lease Auctions</vt:lpstr>
      <vt:lpstr>F10, US Lease Prices</vt:lpstr>
      <vt:lpstr>T9, US Lease Prices</vt:lpstr>
      <vt:lpstr>T10, US Call Areas</vt:lpstr>
      <vt:lpstr>T11, US Offtake Agreements</vt:lpstr>
      <vt:lpstr>T12, US Procurement Policies</vt:lpstr>
      <vt:lpstr>T13, US Flagged Vessels</vt:lpstr>
      <vt:lpstr>T14, Foreign Flagged Vessels</vt:lpstr>
      <vt:lpstr>T15, Port Infrastructure</vt:lpstr>
      <vt:lpstr>T16, Supply Chain Announcements</vt:lpstr>
      <vt:lpstr>F17-18, Global Annual Additions</vt:lpstr>
      <vt:lpstr>F18,20, Installed and Const.</vt:lpstr>
      <vt:lpstr>F19,23, Global Cumulative</vt:lpstr>
      <vt:lpstr>F22, Developer Announced</vt:lpstr>
      <vt:lpstr>F24, Global Floating Cumulative</vt:lpstr>
      <vt:lpstr>F25, Global Regional</vt:lpstr>
      <vt:lpstr>F26, Global Floating Regional</vt:lpstr>
      <vt:lpstr>T17, Global Floating Pipeline</vt:lpstr>
      <vt:lpstr>F27, Global Forecasts</vt:lpstr>
      <vt:lpstr>F28, Floating Projections</vt:lpstr>
      <vt:lpstr>T18, Europe Activities Targets</vt:lpstr>
      <vt:lpstr>T19, Asian Activities Targets</vt:lpstr>
      <vt:lpstr>F30-31, Depth and Dist to Shore</vt:lpstr>
      <vt:lpstr>F32-34, Sub. Market Share</vt:lpstr>
      <vt:lpstr>F35-36, Global Turbine Trends</vt:lpstr>
      <vt:lpstr>F37-38, OEM Market Share</vt:lpstr>
      <vt:lpstr>F39, Fixed LCOE Projections</vt:lpstr>
      <vt:lpstr>T21, Dominion Costs</vt:lpstr>
      <vt:lpstr>F40 Project CapEx</vt:lpstr>
      <vt:lpstr>F41, Relative Lease Costs</vt:lpstr>
      <vt:lpstr>F42, OpEx Projections</vt:lpstr>
      <vt:lpstr>F43, Global Strike Prices</vt:lpstr>
      <vt:lpstr>F44, Floating LCOE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Nunemaker</dc:creator>
  <cp:lastModifiedBy>Rob Hammond</cp:lastModifiedBy>
  <dcterms:created xsi:type="dcterms:W3CDTF">2019-07-22T17:34:56Z</dcterms:created>
  <dcterms:modified xsi:type="dcterms:W3CDTF">2022-07-12T16:07:59Z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0x0101003CF98910B5085B44BF117E6717AC5E9B</vt:lpwstr>
  </property>
  <property fmtid="{D5CDD505-2E9C-101B-9397-08002B2CF9AE}" pid="3" name="MediaServiceImageTags">
    <vt:lpwstr/>
  </property>
</Properties>
</file>